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2840" activeTab="0"/>
  </bookViews>
  <sheets>
    <sheet name="earth" sheetId="1" r:id="rId1"/>
    <sheet name="earth-older" sheetId="2" r:id="rId2"/>
    <sheet name="moon" sheetId="3" r:id="rId3"/>
    <sheet name="ISS-shuttle" sheetId="4" r:id="rId4"/>
    <sheet name="egm2008-calculated" sheetId="5" r:id="rId5"/>
    <sheet name="Chesick" sheetId="6" r:id="rId6"/>
    <sheet name="wikipedia-not-trusted" sheetId="7" r:id="rId7"/>
  </sheets>
  <definedNames>
    <definedName name="mile">1609.344</definedName>
    <definedName name="g0_">$U$18</definedName>
    <definedName name="gstd">9.80665</definedName>
    <definedName name="k_">$U$19</definedName>
    <definedName name="deg">PI()/180</definedName>
    <definedName name="polar">$K$15</definedName>
    <definedName name="a_">$D$11</definedName>
    <definedName name="day">86400</definedName>
    <definedName name="b_">$D$10</definedName>
    <definedName name="GM_">$D$8</definedName>
    <definedName name="e_">$D$12</definedName>
    <definedName name="bigG">0.0000000000667428</definedName>
    <definedName name="e2_">$D$13</definedName>
    <definedName name="SHEET_TITLE" localSheetId="0">"earth"</definedName>
    <definedName name="SHEET_TITLE" localSheetId="1">"earth-older"</definedName>
    <definedName name="SHEET_TITLE" localSheetId="2">"moon"</definedName>
    <definedName name="SHEET_TITLE" localSheetId="3">"ISS-shuttle"</definedName>
    <definedName name="SHEET_TITLE" localSheetId="4">"egm2008-calculated"</definedName>
    <definedName name="SHEET_TITLE" localSheetId="5">"Chesick"</definedName>
    <definedName name="SHEET_TITLE" localSheetId="6">"wikipedia-not-trusted"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<sst xmlns="http://schemas.openxmlformats.org/spreadsheetml/2006/main" count="494" uniqueCount="186">
  <si>
    <t>../img48/lat-lon-gravity.png</t>
  </si>
  <si>
    <t>G:</t>
  </si>
  <si>
    <t>6.674 28 x 10-11 m3 kg-1 s-2</t>
  </si>
  <si>
    <t>http://physics.nist.gov/cgi-bin/cuu/Value?bgspu</t>
  </si>
  <si>
    <t>M:</t>
  </si>
  <si>
    <t>kg</t>
  </si>
  <si>
    <t>http://nssdc.gsfc.nasa.gov/planetary/factsheet/earthfact.html</t>
  </si>
  <si>
    <t>GM product:</t>
  </si>
  <si>
    <t>km^3/s^2</t>
  </si>
  <si>
    <t>m^3/s^2</t>
  </si>
  <si>
    <t>barogenic</t>
  </si>
  <si>
    <t>volumetric mean R</t>
  </si>
  <si>
    <t>m</t>
  </si>
  <si>
    <t>m/s/s</t>
  </si>
  <si>
    <t>polar R</t>
  </si>
  <si>
    <t>equatorial R</t>
  </si>
  <si>
    <t>eccentricity</t>
  </si>
  <si>
    <t>overdetermined</t>
  </si>
  <si>
    <t>e^2</t>
  </si>
  <si>
    <t>International Gravity Formula</t>
  </si>
  <si>
    <t>polar</t>
  </si>
  <si>
    <t>volumetric</t>
  </si>
  <si>
    <t>polar:</t>
  </si>
  <si>
    <t>equatorial</t>
  </si>
  <si>
    <t>g0:</t>
  </si>
  <si>
    <t>g(std)</t>
  </si>
  <si>
    <t>exact</t>
  </si>
  <si>
    <t>k</t>
  </si>
  <si>
    <t>solar day</t>
  </si>
  <si>
    <t>s</t>
  </si>
  <si>
    <t>year</t>
  </si>
  <si>
    <t>d</t>
  </si>
  <si>
    <t>min</t>
  </si>
  <si>
    <t>exactly</t>
  </si>
  <si>
    <t>hour</t>
  </si>
  <si>
    <t>siderial day</t>
  </si>
  <si>
    <t>h</t>
  </si>
  <si>
    <t>spin omega</t>
  </si>
  <si>
    <t>Standard Gravity</t>
  </si>
  <si>
    <t>geodetic</t>
  </si>
  <si>
    <t>geocentric</t>
  </si>
  <si>
    <t>radius of</t>
  </si>
  <si>
    <t>geocentric radius</t>
  </si>
  <si>
    <t>Universal Barogenic (point mass)</t>
  </si>
  <si>
    <t>sea-level framative gravity</t>
  </si>
  <si>
    <t>Int'l Gravity Model</t>
  </si>
  <si>
    <t>omega</t>
  </si>
  <si>
    <t>latitude</t>
  </si>
  <si>
    <t>centrifugity</t>
  </si>
  <si>
    <t>ellipsoid</t>
  </si>
  <si>
    <t>of sphereoid</t>
  </si>
  <si>
    <t>gravity</t>
  </si>
  <si>
    <t>Barogenic + Centrifugal</t>
  </si>
  <si>
    <t>Somigliana</t>
  </si>
  <si>
    <t>Gees</t>
  </si>
  <si>
    <t>compare</t>
  </si>
  <si>
    <t>sphereoid</t>
  </si>
  <si>
    <t>other</t>
  </si>
  <si>
    <t>radius</t>
  </si>
  <si>
    <t>g normalized</t>
  </si>
  <si>
    <t>Place</t>
  </si>
  <si>
    <t>Latitude/deg</t>
  </si>
  <si>
    <t>Altitude/m</t>
  </si>
  <si>
    <t>Chesick</t>
  </si>
  <si>
    <t>g in m/s^2</t>
  </si>
  <si>
    <t>source</t>
  </si>
  <si>
    <t>abs(lat)</t>
  </si>
  <si>
    <t>to sea level</t>
  </si>
  <si>
    <t>North Pole</t>
  </si>
  <si>
    <t>Green Land</t>
  </si>
  <si>
    <t>Stockholm</t>
  </si>
  <si>
    <t>Brussels</t>
  </si>
  <si>
    <t>Banff</t>
  </si>
  <si>
    <t>New York</t>
  </si>
  <si>
    <t>Chicago</t>
  </si>
  <si>
    <t>Denver</t>
  </si>
  <si>
    <t>San Francisco</t>
  </si>
  <si>
    <t>Canal Zone</t>
  </si>
  <si>
    <t>Java</t>
  </si>
  <si>
    <t>New Zealand</t>
  </si>
  <si>
    <t>wikipedia</t>
  </si>
  <si>
    <t>EGM2008</t>
  </si>
  <si>
    <t>Amsterdam</t>
  </si>
  <si>
    <t>Anchorage</t>
  </si>
  <si>
    <t>Athens</t>
  </si>
  <si>
    <t>Auckland</t>
  </si>
  <si>
    <t>Bangkok</t>
  </si>
  <si>
    <t>Birmingham</t>
  </si>
  <si>
    <t>Buenos Aires</t>
  </si>
  <si>
    <t>Cape Town</t>
  </si>
  <si>
    <t>Copenhagen</t>
  </si>
  <si>
    <t>Frankfurt</t>
  </si>
  <si>
    <t>Havana</t>
  </si>
  <si>
    <t>Helsinki</t>
  </si>
  <si>
    <t>Hong Kong</t>
  </si>
  <si>
    <t>Istanbul</t>
  </si>
  <si>
    <t>Jakarta</t>
  </si>
  <si>
    <t>Kandy</t>
  </si>
  <si>
    <t>Kolkata</t>
  </si>
  <si>
    <t>Kuala Lumpur</t>
  </si>
  <si>
    <t>Kuwait City</t>
  </si>
  <si>
    <t>Lisbon</t>
  </si>
  <si>
    <t>London</t>
  </si>
  <si>
    <t>Los Angeles</t>
  </si>
  <si>
    <t>Madrid</t>
  </si>
  <si>
    <t>Manchester</t>
  </si>
  <si>
    <t>Manila</t>
  </si>
  <si>
    <t>Melbourne</t>
  </si>
  <si>
    <t>Mexico City</t>
  </si>
  <si>
    <t>Montréal</t>
  </si>
  <si>
    <t>New York City</t>
  </si>
  <si>
    <t>Nicosia</t>
  </si>
  <si>
    <t>Oslo</t>
  </si>
  <si>
    <t>Ottawa</t>
  </si>
  <si>
    <t>Paris</t>
  </si>
  <si>
    <t>Perth</t>
  </si>
  <si>
    <t>Rio de Janeiro</t>
  </si>
  <si>
    <t>Rome</t>
  </si>
  <si>
    <t>Seattle</t>
  </si>
  <si>
    <t>Singapore</t>
  </si>
  <si>
    <t>Skopje</t>
  </si>
  <si>
    <t>Sydney</t>
  </si>
  <si>
    <t>Taipei</t>
  </si>
  <si>
    <t>Tokyo</t>
  </si>
  <si>
    <t>Toronto</t>
  </si>
  <si>
    <t>Vancouver</t>
  </si>
  <si>
    <t>Washington, D.C.</t>
  </si>
  <si>
    <t>Wellington</t>
  </si>
  <si>
    <t>Zurich</t>
  </si>
  <si>
    <t>MacMurdo</t>
  </si>
  <si>
    <t>80N, 100W</t>
  </si>
  <si>
    <t>Kaffeklubben Island</t>
  </si>
  <si>
    <t>xxx9.84119</t>
  </si>
  <si>
    <t>83.56N, 29.83333W</t>
  </si>
  <si>
    <t>89S, 0E</t>
  </si>
  <si>
    <t>Table Mountain, CO</t>
  </si>
  <si>
    <t>Blackford Hill</t>
  </si>
  <si>
    <t>excluding centrif</t>
  </si>
  <si>
    <t>sea-level</t>
  </si>
  <si>
    <t>polar *R/r</t>
  </si>
  <si>
    <t>Universal Barogenic</t>
  </si>
  <si>
    <t>framative</t>
  </si>
  <si>
    <t>minus</t>
  </si>
  <si>
    <t>international</t>
  </si>
  <si>
    <t>centrif</t>
  </si>
  <si>
    <t>orbit semimajor</t>
  </si>
  <si>
    <t>orbit period</t>
  </si>
  <si>
    <t>orbit omega</t>
  </si>
  <si>
    <t>radian/sec</t>
  </si>
  <si>
    <t>moon mass</t>
  </si>
  <si>
    <t>earth mass</t>
  </si>
  <si>
    <t>mass fraction</t>
  </si>
  <si>
    <t>CM offset</t>
  </si>
  <si>
    <t>km</t>
  </si>
  <si>
    <t>mile</t>
  </si>
  <si>
    <t>earth mean R</t>
  </si>
  <si>
    <t>offset fraction</t>
  </si>
  <si>
    <t>accel</t>
  </si>
  <si>
    <t xml:space="preserve"> Gee</t>
  </si>
  <si>
    <t>moon gravity at earth</t>
  </si>
  <si>
    <t>Space Shuttle Discovery re-boosted the orbit of Hubble during STS-82</t>
  </si>
  <si>
    <t>(in 1997) and in the process reached 620 km altitude, which is higher</t>
  </si>
  <si>
    <t>than any other Shuttle flight.</t>
  </si>
  <si>
    <t>Once in orbit, the Shuttle usually flew at an altitude of 320</t>
  </si>
  <si>
    <t>kilometers (200 miles), and occasionally as high as 650 kilometers</t>
  </si>
  <si>
    <t>http://www.esa.int/Our_Activities/Human_Spaceflight/International_Space_Station/ISS_International_Space_Station</t>
  </si>
  <si>
    <t>Orbital altitude, 370-460 km.</t>
  </si>
  <si>
    <t>earth mean radius</t>
  </si>
  <si>
    <t>iss altitude</t>
  </si>
  <si>
    <t>apogee</t>
  </si>
  <si>
    <t>Lat</t>
  </si>
  <si>
    <t>Lon</t>
  </si>
  <si>
    <t>Elevation</t>
  </si>
  <si>
    <t>wikipedia g</t>
  </si>
  <si>
    <t>egm2008 |g|</t>
  </si>
  <si>
    <t>gx</t>
  </si>
  <si>
    <t>gy</t>
  </si>
  <si>
    <t>gz</t>
  </si>
  <si>
    <t>Location</t>
  </si>
  <si>
    <t>deg</t>
  </si>
  <si>
    <t>+ or -</t>
  </si>
  <si>
    <t>http://www.haverford.edu/educ/knight-booklet/accelarator.htm</t>
  </si>
  <si>
    <t>NOT TRUSTED</t>
  </si>
  <si>
    <t>Latitude / deg</t>
  </si>
  <si>
    <t>Elevation / m</t>
  </si>
  <si>
    <t>https://en.wikipedia.org/wiki/Gravity_of_Earth</t>
  </si>
</sst>
</file>

<file path=xl/styles.xml><?xml version="1.0" encoding="utf-8"?>
<styleSheet xmlns="http://schemas.openxmlformats.org/spreadsheetml/2006/main">
  <numFmts count="15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%"/>
    <numFmt numFmtId="51" formatCode="0.00000"/>
    <numFmt numFmtId="52" formatCode="0.000000"/>
    <numFmt numFmtId="53" formatCode="0.000"/>
    <numFmt numFmtId="54" formatCode="0.000000E+00"/>
    <numFmt numFmtId="55" formatCode="0.000E+00"/>
    <numFmt numFmtId="56" formatCode="0.0000"/>
  </numFmts>
  <fonts count="4">
    <font>
      <sz val="10"/>
      <color indexed="8"/>
      <name val="Sans"/>
      <family val="0"/>
    </font>
    <font>
      <sz val="8"/>
      <color indexed="8"/>
      <name val="Sans"/>
      <family val="0"/>
    </font>
    <font>
      <u val="single"/>
      <sz val="10"/>
      <color indexed="12"/>
      <name val="Sans"/>
      <family val="0"/>
    </font>
    <font>
      <b/>
      <sz val="10"/>
      <color indexed="8"/>
      <name val="San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54" fontId="0" fillId="0" borderId="0" xfId="0" applyNumberFormat="1" applyFont="1" applyFill="1" applyBorder="1" applyAlignment="1" applyProtection="1">
      <alignment/>
      <protection/>
    </xf>
    <xf numFmtId="55" fontId="0" fillId="0" borderId="0" xfId="0" applyNumberFormat="1" applyFont="1" applyFill="1" applyBorder="1" applyAlignment="1" applyProtection="1">
      <alignment/>
      <protection/>
    </xf>
    <xf numFmtId="50" fontId="0" fillId="2" borderId="0" xfId="0" applyNumberFormat="1" applyFont="1" applyFill="1" applyBorder="1" applyAlignment="1" applyProtection="1">
      <alignment/>
      <protection/>
    </xf>
    <xf numFmtId="53" fontId="0" fillId="0" borderId="0" xfId="0" applyNumberFormat="1" applyFont="1" applyFill="1" applyBorder="1" applyAlignment="1" applyProtection="1">
      <alignment/>
      <protection/>
    </xf>
    <xf numFmtId="52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56" fontId="0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earth!$K$31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earth!$C$34:$C$52</c:f>
              <c:numCache/>
            </c:numRef>
          </c:xVal>
          <c:yVal>
            <c:numRef>
              <c:f>earth!$K$34:$K$52</c:f>
              <c:numCache/>
            </c:numRef>
          </c:yVal>
          <c:smooth val="0"/>
        </c:ser>
        <c:ser>
          <c:idx val="1"/>
          <c:order val="1"/>
          <c:tx>
            <c:strRef>
              <c:f>earth!$L$32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earth!$C$34:$C$52</c:f>
              <c:numCache/>
            </c:numRef>
          </c:xVal>
          <c:yVal>
            <c:numRef>
              <c:f>earth!$L$34:$L$52</c:f>
              <c:numCache/>
            </c:numRef>
          </c:yVal>
          <c:smooth val="0"/>
        </c:ser>
        <c:ser>
          <c:idx val="2"/>
          <c:order val="2"/>
          <c:tx>
            <c:strRef>
              <c:f>earth!$Q$30</c:f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earth!$C$34:$C$52</c:f>
              <c:numCache/>
            </c:numRef>
          </c:xVal>
          <c:yVal>
            <c:numRef>
              <c:f>earth!$Q$34:$Q$52</c:f>
              <c:numCache/>
            </c:numRef>
          </c:yVal>
          <c:smooth val="0"/>
        </c:ser>
        <c:ser>
          <c:idx val="3"/>
          <c:order val="3"/>
          <c:tx>
            <c:strRef>
              <c:f>earth!$S$31</c:f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earth!$C$34:$C$52</c:f>
              <c:numCache/>
            </c:numRef>
          </c:xVal>
          <c:yVal>
            <c:numRef>
              <c:f>earth!$S$34:$S$52</c:f>
              <c:numCache/>
            </c:numRef>
          </c:yVal>
          <c:smooth val="0"/>
        </c:ser>
        <c:ser>
          <c:idx val="4"/>
          <c:order val="4"/>
          <c:tx>
            <c:strRef>
              <c:f>earth!$U$32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earth!$C$34:$C$52</c:f>
              <c:numCache/>
            </c:numRef>
          </c:xVal>
          <c:yVal>
            <c:numRef>
              <c:f>earth!$U$34:$U$52</c:f>
              <c:numCache/>
            </c:numRef>
          </c:yVal>
          <c:smooth val="0"/>
        </c:ser>
        <c:ser>
          <c:idx val="5"/>
          <c:order val="5"/>
          <c:tx>
            <c:v>EGM2008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earth!$M$73:$M$135</c:f>
              <c:strCache/>
            </c:strRef>
          </c:xVal>
          <c:yVal>
            <c:numRef>
              <c:f>earth!$O$73:$O$135</c:f>
              <c:numCache/>
            </c:numRef>
          </c:yVal>
          <c:smooth val="0"/>
        </c:ser>
        <c:ser>
          <c:idx val="6"/>
          <c:order val="6"/>
          <c:tx>
            <c:strRef>
              <c:f>earth!$I$58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earth!$M$59:$M$70</c:f>
              <c:numCache/>
            </c:numRef>
          </c:xVal>
          <c:yVal>
            <c:numRef>
              <c:f>earth!$O$59:$O$70</c:f>
              <c:numCache/>
            </c:numRef>
          </c:yVal>
          <c:smooth val="0"/>
        </c:ser>
        <c:axId val="25221139"/>
        <c:axId val="61209432"/>
      </c:scatterChart>
      <c:valAx>
        <c:axId val="25221139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|Latitude| in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61209432"/>
        <c:crosses val="autoZero"/>
        <c:crossBetween val="midCat"/>
        <c:dispUnits/>
        <c:majorUnit val="15"/>
      </c:valAx>
      <c:valAx>
        <c:axId val="61209432"/>
        <c:scaling>
          <c:orientation val="minMax"/>
          <c:min val="9.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sea-level g in m/s/s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5221139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Sans"/>
              <a:ea typeface="Sans"/>
              <a:cs typeface="Sans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earth!$K$31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earth!$C$34:$C$52</c:f>
              <c:numCache/>
            </c:numRef>
          </c:xVal>
          <c:yVal>
            <c:numRef>
              <c:f>earth!$K$34:$K$52</c:f>
              <c:numCache/>
            </c:numRef>
          </c:yVal>
          <c:smooth val="0"/>
        </c:ser>
        <c:ser>
          <c:idx val="1"/>
          <c:order val="1"/>
          <c:tx>
            <c:strRef>
              <c:f>earth!$L$32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earth!$C$34:$C$52</c:f>
              <c:numCache/>
            </c:numRef>
          </c:xVal>
          <c:yVal>
            <c:numRef>
              <c:f>earth!$L$34:$L$52</c:f>
              <c:numCache/>
            </c:numRef>
          </c:yVal>
          <c:smooth val="0"/>
        </c:ser>
        <c:ser>
          <c:idx val="2"/>
          <c:order val="2"/>
          <c:tx>
            <c:strRef>
              <c:f>earth!$Q$30</c:f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earth!$C$34:$C$52</c:f>
              <c:numCache/>
            </c:numRef>
          </c:xVal>
          <c:yVal>
            <c:numRef>
              <c:f>earth!$Q$34:$Q$52</c:f>
              <c:numCache/>
            </c:numRef>
          </c:yVal>
          <c:smooth val="0"/>
        </c:ser>
        <c:ser>
          <c:idx val="3"/>
          <c:order val="3"/>
          <c:tx>
            <c:strRef>
              <c:f>earth!$S$31</c:f>
            </c:strRef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earth!$C$34:$C$52</c:f>
              <c:numCache/>
            </c:numRef>
          </c:xVal>
          <c:yVal>
            <c:numRef>
              <c:f>earth!$S$34:$S$52</c:f>
              <c:numCache/>
            </c:numRef>
          </c:yVal>
          <c:smooth val="0"/>
        </c:ser>
        <c:ser>
          <c:idx val="4"/>
          <c:order val="4"/>
          <c:tx>
            <c:strRef>
              <c:f>earth!$U$32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earth!$C$34:$C$52</c:f>
              <c:numCache/>
            </c:numRef>
          </c:xVal>
          <c:yVal>
            <c:numRef>
              <c:f>earth!$U$34:$U$52</c:f>
              <c:numCache/>
            </c:numRef>
          </c:yVal>
          <c:smooth val="0"/>
        </c:ser>
        <c:ser>
          <c:idx val="5"/>
          <c:order val="5"/>
          <c:tx>
            <c:v>EGM2008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earth!$M$73:$M$135</c:f>
              <c:strCache/>
            </c:strRef>
          </c:xVal>
          <c:yVal>
            <c:numRef>
              <c:f>earth!$O$73:$O$135</c:f>
              <c:numCache/>
            </c:numRef>
          </c:yVal>
          <c:smooth val="0"/>
        </c:ser>
        <c:ser>
          <c:idx val="6"/>
          <c:order val="6"/>
          <c:tx>
            <c:strRef>
              <c:f>earth!$I$58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earth!$M$59:$M$70</c:f>
              <c:numCache/>
            </c:numRef>
          </c:xVal>
          <c:yVal>
            <c:numRef>
              <c:f>earth!$O$59:$O$70</c:f>
              <c:numCache/>
            </c:numRef>
          </c:yVal>
          <c:smooth val="0"/>
        </c:ser>
        <c:axId val="2961017"/>
        <c:axId val="66136902"/>
      </c:scatterChart>
      <c:valAx>
        <c:axId val="2961017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|Latitude| in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66136902"/>
        <c:crosses val="autoZero"/>
        <c:crossBetween val="midCat"/>
        <c:dispUnits/>
        <c:majorUnit val="15"/>
      </c:valAx>
      <c:valAx>
        <c:axId val="66136902"/>
        <c:scaling>
          <c:orientation val="minMax"/>
          <c:min val="9.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sea-level g in m/s/s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961017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Sans"/>
              <a:ea typeface="Sans"/>
              <a:cs typeface="Sans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'earth-older'!$J$30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'earth-older'!$C$33:$C$51</c:f>
              <c:numCache/>
            </c:numRef>
          </c:xVal>
          <c:yVal>
            <c:numRef>
              <c:f>'earth-older'!$J$33:$J$51</c:f>
              <c:numCache/>
            </c:numRef>
          </c:yVal>
          <c:smooth val="0"/>
        </c:ser>
        <c:ser>
          <c:idx val="1"/>
          <c:order val="1"/>
          <c:tx>
            <c:strRef>
              <c:f>'earth-older'!$M$30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'earth-older'!$C$33:$C$51</c:f>
              <c:numCache/>
            </c:numRef>
          </c:xVal>
          <c:yVal>
            <c:numRef>
              <c:f>'earth-older'!$M$33:$M$51</c:f>
              <c:numCache/>
            </c:numRef>
          </c:yVal>
          <c:smooth val="0"/>
        </c:ser>
        <c:ser>
          <c:idx val="2"/>
          <c:order val="2"/>
          <c:tx>
            <c:strRef>
              <c:f>'earth-older'!$Q$29</c:f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'earth-older'!$C$33:$C$51</c:f>
              <c:numCache/>
            </c:numRef>
          </c:xVal>
          <c:yVal>
            <c:numRef>
              <c:f>'earth-older'!$Q$33:$Q$51</c:f>
              <c:numCache/>
            </c:numRef>
          </c:yVal>
          <c:smooth val="0"/>
        </c:ser>
        <c:ser>
          <c:idx val="3"/>
          <c:order val="3"/>
          <c:tx>
            <c:v>polar minus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'earth-older'!$C$33:$C$51</c:f>
              <c:numCache/>
            </c:numRef>
          </c:xVal>
          <c:yVal>
            <c:numRef>
              <c:f>'earth-older'!$S$33:$S$51</c:f>
              <c:numCache/>
            </c:numRef>
          </c:yVal>
          <c:smooth val="0"/>
        </c:ser>
        <c:ser>
          <c:idx val="4"/>
          <c:order val="4"/>
          <c:tx>
            <c:strRef>
              <c:f>'earth-older'!$U$29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'earth-older'!$C$33:$C$51</c:f>
              <c:numCache/>
            </c:numRef>
          </c:xVal>
          <c:yVal>
            <c:numRef>
              <c:f>'earth-older'!$U$33:$U$51</c:f>
              <c:numCache/>
            </c:numRef>
          </c:yVal>
          <c:smooth val="0"/>
        </c:ser>
        <c:ser>
          <c:idx val="5"/>
          <c:order val="5"/>
          <c:tx>
            <c:strRef>
              <c:f>'earth-older'!$W$28</c:f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'earth-older'!$C$33:$C$51</c:f>
              <c:numCache/>
            </c:numRef>
          </c:xVal>
          <c:yVal>
            <c:numRef>
              <c:f>'earth-older'!$W$33:$W$51</c:f>
              <c:numCache/>
            </c:numRef>
          </c:yVal>
          <c:smooth val="0"/>
        </c:ser>
        <c:ser>
          <c:idx val="6"/>
          <c:order val="6"/>
          <c:tx>
            <c:strRef>
              <c:f>'earth-older'!$I$57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'earth-older'!$K$58:$K$69</c:f>
              <c:numCache/>
            </c:numRef>
          </c:xVal>
          <c:yVal>
            <c:numRef>
              <c:f>'earth-older'!$M$58:$M$69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'earth-older'!$K$71:$K$150</c:f>
              <c:strCache/>
            </c:strRef>
          </c:xVal>
          <c:yVal>
            <c:numRef>
              <c:f>'earth-older'!$M$71:$M$150</c:f>
              <c:numCache/>
            </c:numRef>
          </c:yVal>
          <c:smooth val="0"/>
        </c:ser>
        <c:axId val="23370575"/>
        <c:axId val="45042916"/>
      </c:scatterChart>
      <c:valAx>
        <c:axId val="2337057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45042916"/>
        <c:crosses val="autoZero"/>
        <c:crossBetween val="midCat"/>
        <c:dispUnits/>
        <c:majorUnit val="15"/>
      </c:valAx>
      <c:valAx>
        <c:axId val="4504291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3370575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Sans"/>
              <a:ea typeface="Sans"/>
              <a:cs typeface="Sans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'earth-older'!$J$30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'earth-older'!$C$33:$C$51</c:f>
              <c:numCache/>
            </c:numRef>
          </c:xVal>
          <c:yVal>
            <c:numRef>
              <c:f>'earth-older'!$J$33:$J$51</c:f>
              <c:numCache/>
            </c:numRef>
          </c:yVal>
          <c:smooth val="0"/>
        </c:ser>
        <c:ser>
          <c:idx val="1"/>
          <c:order val="1"/>
          <c:tx>
            <c:strRef>
              <c:f>'earth-older'!$Q$29</c:f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'earth-older'!$C$33:$C$51</c:f>
              <c:numCache/>
            </c:numRef>
          </c:xVal>
          <c:yVal>
            <c:numRef>
              <c:f>'earth-older'!$Q$33:$Q$51</c:f>
              <c:numCache/>
            </c:numRef>
          </c:yVal>
          <c:smooth val="0"/>
        </c:ser>
        <c:ser>
          <c:idx val="2"/>
          <c:order val="2"/>
          <c:tx>
            <c:v>International Model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'earth-older'!$C$33:$C$51</c:f>
              <c:numCache/>
            </c:numRef>
          </c:xVal>
          <c:yVal>
            <c:numRef>
              <c:f>'earth-older'!$X$33:$X$51</c:f>
              <c:numCache/>
            </c:numRef>
          </c:yVal>
          <c:smooth val="0"/>
        </c:ser>
        <c:ser>
          <c:idx val="3"/>
          <c:order val="3"/>
          <c:tx>
            <c:v>EGM2008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'earth-older'!$K$71:$K$150</c:f>
              <c:strCache/>
            </c:strRef>
          </c:xVal>
          <c:yVal>
            <c:numRef>
              <c:f>'earth-older'!$M$71:$M$150</c:f>
              <c:numCache/>
            </c:numRef>
          </c:yVal>
          <c:smooth val="0"/>
        </c:ser>
        <c:ser>
          <c:idx val="4"/>
          <c:order val="4"/>
          <c:tx>
            <c:v>Chesick FAKE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'earth-older'!$K$58:$K$69</c:f>
              <c:numCache/>
            </c:numRef>
          </c:xVal>
          <c:yVal>
            <c:numRef>
              <c:f>'earth-older'!$M$58:$M$69</c:f>
              <c:numCache/>
            </c:numRef>
          </c:yVal>
          <c:smooth val="0"/>
        </c:ser>
        <c:axId val="13665301"/>
        <c:axId val="10958770"/>
      </c:scatterChart>
      <c:valAx>
        <c:axId val="1366530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0958770"/>
        <c:crosses val="autoZero"/>
        <c:crossBetween val="midCat"/>
        <c:dispUnits/>
        <c:majorUnit val="15"/>
      </c:valAx>
      <c:valAx>
        <c:axId val="1095877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3665301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Sans"/>
              <a:ea typeface="Sans"/>
              <a:cs typeface="Sans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142875</xdr:rowOff>
    </xdr:from>
    <xdr:to>
      <xdr:col>8</xdr:col>
      <xdr:colOff>762000</xdr:colOff>
      <xdr:row>2</xdr:row>
      <xdr:rowOff>171450</xdr:rowOff>
    </xdr:to>
    <xdr:graphicFrame>
      <xdr:nvGraphicFramePr>
        <xdr:cNvPr id="1" name="Chart 1"/>
        <xdr:cNvGraphicFramePr/>
      </xdr:nvGraphicFramePr>
      <xdr:xfrm>
        <a:off x="7153275" y="485775"/>
        <a:ext cx="733425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4</xdr:row>
      <xdr:rowOff>171450</xdr:rowOff>
    </xdr:from>
    <xdr:to>
      <xdr:col>7</xdr:col>
      <xdr:colOff>695325</xdr:colOff>
      <xdr:row>4</xdr:row>
      <xdr:rowOff>171450</xdr:rowOff>
    </xdr:to>
    <xdr:graphicFrame>
      <xdr:nvGraphicFramePr>
        <xdr:cNvPr id="2" name="Chart 2"/>
        <xdr:cNvGraphicFramePr/>
      </xdr:nvGraphicFramePr>
      <xdr:xfrm>
        <a:off x="6791325" y="857250"/>
        <a:ext cx="33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47625</xdr:rowOff>
    </xdr:from>
    <xdr:to>
      <xdr:col>0</xdr:col>
      <xdr:colOff>695325</xdr:colOff>
      <xdr:row>2</xdr:row>
      <xdr:rowOff>161925</xdr:rowOff>
    </xdr:to>
    <xdr:graphicFrame>
      <xdr:nvGraphicFramePr>
        <xdr:cNvPr id="1" name="Chart 1"/>
        <xdr:cNvGraphicFramePr/>
      </xdr:nvGraphicFramePr>
      <xdr:xfrm>
        <a:off x="523875" y="371475"/>
        <a:ext cx="171450" cy="11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914400</xdr:colOff>
      <xdr:row>1</xdr:row>
      <xdr:rowOff>66675</xdr:rowOff>
    </xdr:from>
    <xdr:to>
      <xdr:col>1</xdr:col>
      <xdr:colOff>1133475</xdr:colOff>
      <xdr:row>1</xdr:row>
      <xdr:rowOff>161925</xdr:rowOff>
    </xdr:to>
    <xdr:graphicFrame>
      <xdr:nvGraphicFramePr>
        <xdr:cNvPr id="2" name="Chart 2"/>
        <xdr:cNvGraphicFramePr/>
      </xdr:nvGraphicFramePr>
      <xdr:xfrm>
        <a:off x="1609725" y="228600"/>
        <a:ext cx="219075" cy="9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Amsterdam" TargetMode="External" /><Relationship Id="rId2" Type="http://schemas.openxmlformats.org/officeDocument/2006/relationships/hyperlink" Target="https://en.wikipedia.org/wiki/Anchorage" TargetMode="External" /><Relationship Id="rId3" Type="http://schemas.openxmlformats.org/officeDocument/2006/relationships/hyperlink" Target="https://en.wikipedia.org/wiki/Athens" TargetMode="External" /><Relationship Id="rId4" Type="http://schemas.openxmlformats.org/officeDocument/2006/relationships/hyperlink" Target="https://en.wikipedia.org/wiki/Auckland" TargetMode="External" /><Relationship Id="rId5" Type="http://schemas.openxmlformats.org/officeDocument/2006/relationships/hyperlink" Target="https://en.wikipedia.org/wiki/Bangkok" TargetMode="External" /><Relationship Id="rId6" Type="http://schemas.openxmlformats.org/officeDocument/2006/relationships/hyperlink" Target="https://en.wikipedia.org/wiki/Birmingham" TargetMode="External" /><Relationship Id="rId7" Type="http://schemas.openxmlformats.org/officeDocument/2006/relationships/hyperlink" Target="https://en.wikipedia.org/wiki/Brussels" TargetMode="External" /><Relationship Id="rId8" Type="http://schemas.openxmlformats.org/officeDocument/2006/relationships/hyperlink" Target="https://en.wikipedia.org/wiki/Buenos_Aires" TargetMode="External" /><Relationship Id="rId9" Type="http://schemas.openxmlformats.org/officeDocument/2006/relationships/hyperlink" Target="https://en.wikipedia.org/wiki/Cape_Town" TargetMode="External" /><Relationship Id="rId10" Type="http://schemas.openxmlformats.org/officeDocument/2006/relationships/hyperlink" Target="https://en.wikipedia.org/wiki/Chicago" TargetMode="External" /><Relationship Id="rId11" Type="http://schemas.openxmlformats.org/officeDocument/2006/relationships/hyperlink" Target="https://en.wikipedia.org/wiki/Copenhagen" TargetMode="External" /><Relationship Id="rId12" Type="http://schemas.openxmlformats.org/officeDocument/2006/relationships/hyperlink" Target="https://en.wikipedia.org/wiki/Denver" TargetMode="External" /><Relationship Id="rId13" Type="http://schemas.openxmlformats.org/officeDocument/2006/relationships/hyperlink" Target="https://en.wikipedia.org/wiki/Frankfurt" TargetMode="External" /><Relationship Id="rId14" Type="http://schemas.openxmlformats.org/officeDocument/2006/relationships/hyperlink" Target="https://en.wikipedia.org/wiki/Havana" TargetMode="External" /><Relationship Id="rId15" Type="http://schemas.openxmlformats.org/officeDocument/2006/relationships/hyperlink" Target="https://en.wikipedia.org/wiki/Helsinki" TargetMode="External" /><Relationship Id="rId16" Type="http://schemas.openxmlformats.org/officeDocument/2006/relationships/hyperlink" Target="https://en.wikipedia.org/wiki/Hong_Kong" TargetMode="External" /><Relationship Id="rId17" Type="http://schemas.openxmlformats.org/officeDocument/2006/relationships/hyperlink" Target="https://en.wikipedia.org/wiki/Istanbul" TargetMode="External" /><Relationship Id="rId18" Type="http://schemas.openxmlformats.org/officeDocument/2006/relationships/hyperlink" Target="https://en.wikipedia.org/wiki/Jakarta" TargetMode="External" /><Relationship Id="rId19" Type="http://schemas.openxmlformats.org/officeDocument/2006/relationships/hyperlink" Target="https://en.wikipedia.org/wiki/Kandy" TargetMode="External" /><Relationship Id="rId20" Type="http://schemas.openxmlformats.org/officeDocument/2006/relationships/hyperlink" Target="https://en.wikipedia.org/wiki/Kolkata" TargetMode="External" /><Relationship Id="rId21" Type="http://schemas.openxmlformats.org/officeDocument/2006/relationships/hyperlink" Target="https://en.wikipedia.org/wiki/Kuala_Lumpur" TargetMode="External" /><Relationship Id="rId22" Type="http://schemas.openxmlformats.org/officeDocument/2006/relationships/hyperlink" Target="https://en.wikipedia.org/wiki/Kuwait_City" TargetMode="External" /><Relationship Id="rId23" Type="http://schemas.openxmlformats.org/officeDocument/2006/relationships/hyperlink" Target="https://en.wikipedia.org/wiki/Lisbon" TargetMode="External" /><Relationship Id="rId24" Type="http://schemas.openxmlformats.org/officeDocument/2006/relationships/hyperlink" Target="https://en.wikipedia.org/wiki/London" TargetMode="External" /><Relationship Id="rId25" Type="http://schemas.openxmlformats.org/officeDocument/2006/relationships/hyperlink" Target="https://en.wikipedia.org/wiki/Los_Angeles" TargetMode="External" /><Relationship Id="rId26" Type="http://schemas.openxmlformats.org/officeDocument/2006/relationships/hyperlink" Target="https://en.wikipedia.org/wiki/Madrid" TargetMode="External" /><Relationship Id="rId27" Type="http://schemas.openxmlformats.org/officeDocument/2006/relationships/hyperlink" Target="https://en.wikipedia.org/wiki/Manchester" TargetMode="External" /><Relationship Id="rId28" Type="http://schemas.openxmlformats.org/officeDocument/2006/relationships/hyperlink" Target="https://en.wikipedia.org/wiki/Manila" TargetMode="External" /><Relationship Id="rId29" Type="http://schemas.openxmlformats.org/officeDocument/2006/relationships/hyperlink" Target="https://en.wikipedia.org/wiki/Melbourne" TargetMode="External" /><Relationship Id="rId30" Type="http://schemas.openxmlformats.org/officeDocument/2006/relationships/hyperlink" Target="https://en.wikipedia.org/wiki/Mexico_City" TargetMode="External" /><Relationship Id="rId31" Type="http://schemas.openxmlformats.org/officeDocument/2006/relationships/hyperlink" Target="https://en.wikipedia.org/wiki/Montr%C3%A9al" TargetMode="External" /><Relationship Id="rId32" Type="http://schemas.openxmlformats.org/officeDocument/2006/relationships/hyperlink" Target="https://en.wikipedia.org/wiki/New_York_City" TargetMode="External" /><Relationship Id="rId33" Type="http://schemas.openxmlformats.org/officeDocument/2006/relationships/hyperlink" Target="https://en.wikipedia.org/wiki/Nicosia" TargetMode="External" /><Relationship Id="rId34" Type="http://schemas.openxmlformats.org/officeDocument/2006/relationships/hyperlink" Target="https://en.wikipedia.org/wiki/Oslo" TargetMode="External" /><Relationship Id="rId35" Type="http://schemas.openxmlformats.org/officeDocument/2006/relationships/hyperlink" Target="https://en.wikipedia.org/wiki/Ottawa" TargetMode="External" /><Relationship Id="rId36" Type="http://schemas.openxmlformats.org/officeDocument/2006/relationships/hyperlink" Target="https://en.wikipedia.org/wiki/Paris" TargetMode="External" /><Relationship Id="rId37" Type="http://schemas.openxmlformats.org/officeDocument/2006/relationships/hyperlink" Target="https://en.wikipedia.org/wiki/Perth" TargetMode="External" /><Relationship Id="rId38" Type="http://schemas.openxmlformats.org/officeDocument/2006/relationships/hyperlink" Target="https://en.wikipedia.org/wiki/Rio_de_Janeiro" TargetMode="External" /><Relationship Id="rId39" Type="http://schemas.openxmlformats.org/officeDocument/2006/relationships/hyperlink" Target="https://en.wikipedia.org/wiki/Rome" TargetMode="External" /><Relationship Id="rId40" Type="http://schemas.openxmlformats.org/officeDocument/2006/relationships/hyperlink" Target="https://en.wikipedia.org/wiki/Seattle" TargetMode="External" /><Relationship Id="rId41" Type="http://schemas.openxmlformats.org/officeDocument/2006/relationships/hyperlink" Target="https://en.wikipedia.org/wiki/Singapore" TargetMode="External" /><Relationship Id="rId42" Type="http://schemas.openxmlformats.org/officeDocument/2006/relationships/hyperlink" Target="https://en.wikipedia.org/wiki/Skopje" TargetMode="External" /><Relationship Id="rId43" Type="http://schemas.openxmlformats.org/officeDocument/2006/relationships/hyperlink" Target="https://en.wikipedia.org/wiki/Stockholm" TargetMode="External" /><Relationship Id="rId44" Type="http://schemas.openxmlformats.org/officeDocument/2006/relationships/hyperlink" Target="https://en.wikipedia.org/wiki/Sydney" TargetMode="External" /><Relationship Id="rId45" Type="http://schemas.openxmlformats.org/officeDocument/2006/relationships/hyperlink" Target="https://en.wikipedia.org/wiki/Taipei" TargetMode="External" /><Relationship Id="rId46" Type="http://schemas.openxmlformats.org/officeDocument/2006/relationships/hyperlink" Target="https://en.wikipedia.org/wiki/Tokyo" TargetMode="External" /><Relationship Id="rId47" Type="http://schemas.openxmlformats.org/officeDocument/2006/relationships/hyperlink" Target="https://en.wikipedia.org/wiki/Toronto" TargetMode="External" /><Relationship Id="rId48" Type="http://schemas.openxmlformats.org/officeDocument/2006/relationships/hyperlink" Target="https://en.wikipedia.org/wiki/Vancouver" TargetMode="External" /><Relationship Id="rId49" Type="http://schemas.openxmlformats.org/officeDocument/2006/relationships/hyperlink" Target="https://en.wikipedia.org/wiki/Washington,_D.C." TargetMode="External" /><Relationship Id="rId50" Type="http://schemas.openxmlformats.org/officeDocument/2006/relationships/hyperlink" Target="https://en.wikipedia.org/wiki/Wellington" TargetMode="External" /><Relationship Id="rId51" Type="http://schemas.openxmlformats.org/officeDocument/2006/relationships/hyperlink" Target="https://en.wikipedia.org/wiki/Zurich" TargetMode="External" /><Relationship Id="rId52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Amsterdam" TargetMode="External" /><Relationship Id="rId2" Type="http://schemas.openxmlformats.org/officeDocument/2006/relationships/hyperlink" Target="https://en.wikipedia.org/wiki/Anchorage" TargetMode="External" /><Relationship Id="rId3" Type="http://schemas.openxmlformats.org/officeDocument/2006/relationships/hyperlink" Target="https://en.wikipedia.org/wiki/Athens" TargetMode="External" /><Relationship Id="rId4" Type="http://schemas.openxmlformats.org/officeDocument/2006/relationships/hyperlink" Target="https://en.wikipedia.org/wiki/Auckland" TargetMode="External" /><Relationship Id="rId5" Type="http://schemas.openxmlformats.org/officeDocument/2006/relationships/hyperlink" Target="https://en.wikipedia.org/wiki/Bangkok" TargetMode="External" /><Relationship Id="rId6" Type="http://schemas.openxmlformats.org/officeDocument/2006/relationships/hyperlink" Target="https://en.wikipedia.org/wiki/Birmingham" TargetMode="External" /><Relationship Id="rId7" Type="http://schemas.openxmlformats.org/officeDocument/2006/relationships/hyperlink" Target="https://en.wikipedia.org/wiki/Brussels" TargetMode="External" /><Relationship Id="rId8" Type="http://schemas.openxmlformats.org/officeDocument/2006/relationships/hyperlink" Target="https://en.wikipedia.org/wiki/Buenos_Aires" TargetMode="External" /><Relationship Id="rId9" Type="http://schemas.openxmlformats.org/officeDocument/2006/relationships/hyperlink" Target="https://en.wikipedia.org/wiki/Cape_Town" TargetMode="External" /><Relationship Id="rId10" Type="http://schemas.openxmlformats.org/officeDocument/2006/relationships/hyperlink" Target="https://en.wikipedia.org/wiki/Chicago" TargetMode="External" /><Relationship Id="rId11" Type="http://schemas.openxmlformats.org/officeDocument/2006/relationships/hyperlink" Target="https://en.wikipedia.org/wiki/Copenhagen" TargetMode="External" /><Relationship Id="rId12" Type="http://schemas.openxmlformats.org/officeDocument/2006/relationships/hyperlink" Target="https://en.wikipedia.org/wiki/Denver" TargetMode="External" /><Relationship Id="rId13" Type="http://schemas.openxmlformats.org/officeDocument/2006/relationships/hyperlink" Target="https://en.wikipedia.org/wiki/Frankfurt" TargetMode="External" /><Relationship Id="rId14" Type="http://schemas.openxmlformats.org/officeDocument/2006/relationships/hyperlink" Target="https://en.wikipedia.org/wiki/Havana" TargetMode="External" /><Relationship Id="rId15" Type="http://schemas.openxmlformats.org/officeDocument/2006/relationships/hyperlink" Target="https://en.wikipedia.org/wiki/Helsinki" TargetMode="External" /><Relationship Id="rId16" Type="http://schemas.openxmlformats.org/officeDocument/2006/relationships/hyperlink" Target="https://en.wikipedia.org/wiki/Hong_Kong" TargetMode="External" /><Relationship Id="rId17" Type="http://schemas.openxmlformats.org/officeDocument/2006/relationships/hyperlink" Target="https://en.wikipedia.org/wiki/Istanbul" TargetMode="External" /><Relationship Id="rId18" Type="http://schemas.openxmlformats.org/officeDocument/2006/relationships/hyperlink" Target="https://en.wikipedia.org/wiki/Jakarta" TargetMode="External" /><Relationship Id="rId19" Type="http://schemas.openxmlformats.org/officeDocument/2006/relationships/hyperlink" Target="https://en.wikipedia.org/wiki/Kandy" TargetMode="External" /><Relationship Id="rId20" Type="http://schemas.openxmlformats.org/officeDocument/2006/relationships/hyperlink" Target="https://en.wikipedia.org/wiki/Kolkata" TargetMode="External" /><Relationship Id="rId21" Type="http://schemas.openxmlformats.org/officeDocument/2006/relationships/hyperlink" Target="https://en.wikipedia.org/wiki/Kuala_Lumpur" TargetMode="External" /><Relationship Id="rId22" Type="http://schemas.openxmlformats.org/officeDocument/2006/relationships/hyperlink" Target="https://en.wikipedia.org/wiki/Kuwait_City" TargetMode="External" /><Relationship Id="rId23" Type="http://schemas.openxmlformats.org/officeDocument/2006/relationships/hyperlink" Target="https://en.wikipedia.org/wiki/Lisbon" TargetMode="External" /><Relationship Id="rId24" Type="http://schemas.openxmlformats.org/officeDocument/2006/relationships/hyperlink" Target="https://en.wikipedia.org/wiki/London" TargetMode="External" /><Relationship Id="rId25" Type="http://schemas.openxmlformats.org/officeDocument/2006/relationships/hyperlink" Target="https://en.wikipedia.org/wiki/Los_Angeles" TargetMode="External" /><Relationship Id="rId26" Type="http://schemas.openxmlformats.org/officeDocument/2006/relationships/hyperlink" Target="https://en.wikipedia.org/wiki/Madrid" TargetMode="External" /><Relationship Id="rId27" Type="http://schemas.openxmlformats.org/officeDocument/2006/relationships/hyperlink" Target="https://en.wikipedia.org/wiki/Manchester" TargetMode="External" /><Relationship Id="rId28" Type="http://schemas.openxmlformats.org/officeDocument/2006/relationships/hyperlink" Target="https://en.wikipedia.org/wiki/Manila" TargetMode="External" /><Relationship Id="rId29" Type="http://schemas.openxmlformats.org/officeDocument/2006/relationships/hyperlink" Target="https://en.wikipedia.org/wiki/Melbourne" TargetMode="External" /><Relationship Id="rId30" Type="http://schemas.openxmlformats.org/officeDocument/2006/relationships/hyperlink" Target="https://en.wikipedia.org/wiki/Mexico_City" TargetMode="External" /><Relationship Id="rId31" Type="http://schemas.openxmlformats.org/officeDocument/2006/relationships/hyperlink" Target="https://en.wikipedia.org/wiki/Montr%C3%A9al" TargetMode="External" /><Relationship Id="rId32" Type="http://schemas.openxmlformats.org/officeDocument/2006/relationships/hyperlink" Target="https://en.wikipedia.org/wiki/New_York_City" TargetMode="External" /><Relationship Id="rId33" Type="http://schemas.openxmlformats.org/officeDocument/2006/relationships/hyperlink" Target="https://en.wikipedia.org/wiki/Nicosia" TargetMode="External" /><Relationship Id="rId34" Type="http://schemas.openxmlformats.org/officeDocument/2006/relationships/hyperlink" Target="https://en.wikipedia.org/wiki/Oslo" TargetMode="External" /><Relationship Id="rId35" Type="http://schemas.openxmlformats.org/officeDocument/2006/relationships/hyperlink" Target="https://en.wikipedia.org/wiki/Ottawa" TargetMode="External" /><Relationship Id="rId36" Type="http://schemas.openxmlformats.org/officeDocument/2006/relationships/hyperlink" Target="https://en.wikipedia.org/wiki/Paris" TargetMode="External" /><Relationship Id="rId37" Type="http://schemas.openxmlformats.org/officeDocument/2006/relationships/hyperlink" Target="https://en.wikipedia.org/wiki/Perth" TargetMode="External" /><Relationship Id="rId38" Type="http://schemas.openxmlformats.org/officeDocument/2006/relationships/hyperlink" Target="https://en.wikipedia.org/wiki/Rio_de_Janeiro" TargetMode="External" /><Relationship Id="rId39" Type="http://schemas.openxmlformats.org/officeDocument/2006/relationships/hyperlink" Target="https://en.wikipedia.org/wiki/Rome" TargetMode="External" /><Relationship Id="rId40" Type="http://schemas.openxmlformats.org/officeDocument/2006/relationships/hyperlink" Target="https://en.wikipedia.org/wiki/Seattle" TargetMode="External" /><Relationship Id="rId41" Type="http://schemas.openxmlformats.org/officeDocument/2006/relationships/hyperlink" Target="https://en.wikipedia.org/wiki/Singapore" TargetMode="External" /><Relationship Id="rId42" Type="http://schemas.openxmlformats.org/officeDocument/2006/relationships/hyperlink" Target="https://en.wikipedia.org/wiki/Skopje" TargetMode="External" /><Relationship Id="rId43" Type="http://schemas.openxmlformats.org/officeDocument/2006/relationships/hyperlink" Target="https://en.wikipedia.org/wiki/Stockholm" TargetMode="External" /><Relationship Id="rId44" Type="http://schemas.openxmlformats.org/officeDocument/2006/relationships/hyperlink" Target="https://en.wikipedia.org/wiki/Sydney" TargetMode="External" /><Relationship Id="rId45" Type="http://schemas.openxmlformats.org/officeDocument/2006/relationships/hyperlink" Target="https://en.wikipedia.org/wiki/Taipei" TargetMode="External" /><Relationship Id="rId46" Type="http://schemas.openxmlformats.org/officeDocument/2006/relationships/hyperlink" Target="https://en.wikipedia.org/wiki/Tokyo" TargetMode="External" /><Relationship Id="rId47" Type="http://schemas.openxmlformats.org/officeDocument/2006/relationships/hyperlink" Target="https://en.wikipedia.org/wiki/Toronto" TargetMode="External" /><Relationship Id="rId48" Type="http://schemas.openxmlformats.org/officeDocument/2006/relationships/hyperlink" Target="https://en.wikipedia.org/wiki/Vancouver" TargetMode="External" /><Relationship Id="rId49" Type="http://schemas.openxmlformats.org/officeDocument/2006/relationships/hyperlink" Target="https://en.wikipedia.org/wiki/Washington,_D.C." TargetMode="External" /><Relationship Id="rId50" Type="http://schemas.openxmlformats.org/officeDocument/2006/relationships/hyperlink" Target="https://en.wikipedia.org/wiki/Wellington" TargetMode="External" /><Relationship Id="rId51" Type="http://schemas.openxmlformats.org/officeDocument/2006/relationships/hyperlink" Target="https://en.wikipedia.org/wiki/Zuric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7"/>
  <sheetViews>
    <sheetView tabSelected="1" zoomScaleSheetLayoutView="1" workbookViewId="0" topLeftCell="A1">
      <selection activeCell="G21" sqref="G21"/>
    </sheetView>
  </sheetViews>
  <sheetFormatPr defaultColWidth="9.00390625" defaultRowHeight="12.75"/>
  <cols>
    <col min="1" max="1" width="9.125" style="12" customWidth="1"/>
    <col min="2" max="2" width="14.875" style="12" customWidth="1"/>
    <col min="3" max="3" width="10.375" style="12" customWidth="1"/>
    <col min="4" max="4" width="16.875" style="12" customWidth="1"/>
    <col min="5" max="5" width="11.125" style="12" bestFit="1" customWidth="1"/>
    <col min="6" max="6" width="12.75390625" style="12" customWidth="1"/>
    <col min="7" max="7" width="9.25390625" style="12" bestFit="1" customWidth="1"/>
    <col min="8" max="8" width="9.125" style="12" customWidth="1"/>
    <col min="9" max="9" width="10.00390625" style="12" customWidth="1"/>
    <col min="10" max="10" width="9.125" style="12" customWidth="1"/>
    <col min="11" max="11" width="11.875" style="12" customWidth="1"/>
    <col min="12" max="12" width="12.875" style="12" customWidth="1"/>
    <col min="13" max="13" width="14.25390625" style="12" customWidth="1"/>
    <col min="14" max="15" width="12.875" style="12" customWidth="1"/>
    <col min="16" max="16" width="3.125" style="12" customWidth="1"/>
    <col min="17" max="17" width="9.125" style="12" customWidth="1"/>
    <col min="18" max="18" width="2.50390625" style="12" customWidth="1"/>
    <col min="19" max="19" width="9.125" style="12" customWidth="1"/>
    <col min="20" max="20" width="2.125" style="12" customWidth="1"/>
    <col min="21" max="21" width="11.75390625" style="12" customWidth="1"/>
    <col min="22" max="22" width="9.125" style="12" customWidth="1"/>
    <col min="23" max="23" width="18.375" style="12" bestFit="1" customWidth="1"/>
    <col min="24" max="256" width="9.125" style="12" customWidth="1"/>
  </cols>
  <sheetData>
    <row r="1" ht="13.5"/>
    <row r="2" ht="13.5">
      <c r="F2" s="12" t="s">
        <v>0</v>
      </c>
    </row>
    <row r="3" ht="13.5"/>
    <row r="4" ht="13.5"/>
    <row r="5" spans="3:11" ht="13.5">
      <c r="C5" s="12" t="s">
        <v>1</v>
      </c>
      <c r="D5" s="12">
        <f>bigG</f>
        <v>6.67428E-11</v>
      </c>
      <c r="F5" s="12" t="s">
        <v>2</v>
      </c>
      <c r="K5" s="12" t="s">
        <v>3</v>
      </c>
    </row>
    <row r="6" spans="3:11" ht="13.5">
      <c r="C6" s="12" t="s">
        <v>4</v>
      </c>
      <c r="D6" s="12">
        <v>5.9736E+24</v>
      </c>
      <c r="E6" s="12" t="s">
        <v>5</v>
      </c>
      <c r="K6" s="12" t="s">
        <v>6</v>
      </c>
    </row>
    <row r="7" spans="3:5" ht="13.5">
      <c r="C7" s="12" t="s">
        <v>7</v>
      </c>
      <c r="D7" s="12">
        <v>398600.4418</v>
      </c>
      <c r="E7" s="12" t="s">
        <v>8</v>
      </c>
    </row>
    <row r="8" spans="4:11" ht="13.5">
      <c r="D8" s="12">
        <f>D7*1000000000</f>
        <v>398600441800000</v>
      </c>
      <c r="E8" s="12" t="s">
        <v>9</v>
      </c>
      <c r="K8" s="12" t="s">
        <v>10</v>
      </c>
    </row>
    <row r="9" spans="3:13" ht="13.5">
      <c r="C9" s="12" t="s">
        <v>11</v>
      </c>
      <c r="D9" s="12">
        <v>6371000</v>
      </c>
      <c r="E9" s="12" t="s">
        <v>12</v>
      </c>
      <c r="K9" s="12">
        <f>$D$8/D9/D9</f>
        <v>9.820250487063928</v>
      </c>
      <c r="M9" s="12" t="s">
        <v>13</v>
      </c>
    </row>
    <row r="10" spans="3:11" ht="13.5">
      <c r="C10" s="12" t="s">
        <v>14</v>
      </c>
      <c r="D10" s="12">
        <v>6356800</v>
      </c>
      <c r="E10" s="12" t="s">
        <v>12</v>
      </c>
      <c r="K10" s="12">
        <f>$D$8/D10/D10</f>
        <v>9.864172997719821</v>
      </c>
    </row>
    <row r="11" spans="3:11" ht="13.5">
      <c r="C11" s="12" t="s">
        <v>15</v>
      </c>
      <c r="D11" s="12">
        <v>6378100</v>
      </c>
      <c r="E11" s="12" t="s">
        <v>12</v>
      </c>
      <c r="K11" s="12">
        <f>$D$8/D11/D11</f>
        <v>9.798399161197391</v>
      </c>
    </row>
    <row r="12" spans="3:4" ht="13.5">
      <c r="C12" s="12" t="s">
        <v>16</v>
      </c>
      <c r="D12" s="2">
        <f>SQRT(1-D10^2/D11^2)</f>
        <v>0.08165753150522453</v>
      </c>
    </row>
    <row r="13" spans="2:11" ht="13.5">
      <c r="B13" s="12" t="s">
        <v>17</v>
      </c>
      <c r="C13" s="12" t="s">
        <v>18</v>
      </c>
      <c r="D13" s="2">
        <v>0.00669437999013</v>
      </c>
      <c r="K13" s="12" t="s">
        <v>19</v>
      </c>
    </row>
    <row r="14" spans="3:13" ht="13.5">
      <c r="C14" s="12" t="s">
        <v>20</v>
      </c>
      <c r="D14" s="7">
        <f>D$5*D$6/D10/D10</f>
        <v>9.866507836466496</v>
      </c>
      <c r="F14" s="7">
        <f>D14/gstd</f>
        <v>1.0061038006318668</v>
      </c>
      <c r="K14" s="12">
        <v>9.780327</v>
      </c>
      <c r="L14" s="12">
        <v>0.00516323</v>
      </c>
      <c r="M14" s="12">
        <v>2.269E-05</v>
      </c>
    </row>
    <row r="15" spans="3:12" ht="13.5">
      <c r="C15" s="12" t="s">
        <v>21</v>
      </c>
      <c r="D15" s="7">
        <f>D$5*D$6/D9/D9</f>
        <v>9.82257492940132</v>
      </c>
      <c r="E15" s="12" t="s">
        <v>13</v>
      </c>
      <c r="F15" s="7">
        <f>D15/gstd</f>
        <v>1.0016238908701056</v>
      </c>
      <c r="K15" s="12" t="s">
        <v>22</v>
      </c>
      <c r="L15" s="12">
        <f>K14*(1+L14+M14)</f>
        <v>9.831046993395839</v>
      </c>
    </row>
    <row r="16" spans="3:8" ht="13.5">
      <c r="C16" s="12" t="s">
        <v>23</v>
      </c>
      <c r="D16" s="7">
        <f>D$5*D$6/D11/D11</f>
        <v>9.800718431350322</v>
      </c>
      <c r="F16" s="7">
        <f>D16/gstd</f>
        <v>0.9993951483279533</v>
      </c>
      <c r="G16" s="7">
        <f>F14/F16</f>
        <v>1.0067127124992927</v>
      </c>
      <c r="H16" s="7"/>
    </row>
    <row r="17" ht="13.5">
      <c r="D17" s="7"/>
    </row>
    <row r="18" spans="4:22" ht="13.5">
      <c r="D18" s="7"/>
      <c r="Q18" s="12">
        <v>9.764</v>
      </c>
      <c r="S18" s="12" t="s">
        <v>24</v>
      </c>
      <c r="U18" s="12">
        <v>9.7803267714</v>
      </c>
      <c r="V18" s="12" t="s">
        <v>13</v>
      </c>
    </row>
    <row r="19" spans="3:21" ht="13.5">
      <c r="C19" s="12" t="s">
        <v>25</v>
      </c>
      <c r="D19" s="7">
        <f>gstd</f>
        <v>9.80665</v>
      </c>
      <c r="E19" s="12" t="s">
        <v>13</v>
      </c>
      <c r="F19" s="12" t="s">
        <v>26</v>
      </c>
      <c r="Q19" s="12">
        <v>0.0067</v>
      </c>
      <c r="S19" s="12" t="s">
        <v>27</v>
      </c>
      <c r="U19" s="12">
        <v>0.00193185138639</v>
      </c>
    </row>
    <row r="20" spans="19:21" ht="13.5">
      <c r="S20" s="12" t="s">
        <v>18</v>
      </c>
      <c r="U20" s="12">
        <v>0.00669437999013</v>
      </c>
    </row>
    <row r="21" spans="3:5" ht="12.75">
      <c r="C21" s="12" t="s">
        <v>28</v>
      </c>
      <c r="D21" s="12">
        <f>day</f>
        <v>86400</v>
      </c>
      <c r="E21" s="12" t="s">
        <v>29</v>
      </c>
    </row>
    <row r="22" spans="3:5" ht="12.75">
      <c r="C22" s="12" t="s">
        <v>30</v>
      </c>
      <c r="D22" s="12">
        <v>365.256</v>
      </c>
      <c r="E22" s="12" t="s">
        <v>31</v>
      </c>
    </row>
    <row r="23" spans="3:5" ht="12.75">
      <c r="C23" s="12" t="s">
        <v>30</v>
      </c>
      <c r="D23" s="12">
        <f>D21*day</f>
        <v>7464960000</v>
      </c>
      <c r="E23" s="12" t="s">
        <v>29</v>
      </c>
    </row>
    <row r="24" spans="3:6" ht="13.5">
      <c r="C24" s="12" t="s">
        <v>32</v>
      </c>
      <c r="D24" s="12">
        <v>60</v>
      </c>
      <c r="E24" s="12" t="s">
        <v>29</v>
      </c>
      <c r="F24" s="12" t="s">
        <v>33</v>
      </c>
    </row>
    <row r="25" spans="3:6" ht="12.75">
      <c r="C25" s="12" t="s">
        <v>34</v>
      </c>
      <c r="D25" s="12">
        <v>3600</v>
      </c>
      <c r="E25" s="12" t="s">
        <v>29</v>
      </c>
      <c r="F25" s="12" t="s">
        <v>33</v>
      </c>
    </row>
    <row r="26" spans="3:5" ht="12.75">
      <c r="C26" s="12" t="s">
        <v>35</v>
      </c>
      <c r="D26" s="12">
        <v>23.9345</v>
      </c>
      <c r="E26" s="12" t="s">
        <v>36</v>
      </c>
    </row>
    <row r="27" spans="3:5" ht="13.5">
      <c r="C27" s="12" t="s">
        <v>35</v>
      </c>
      <c r="D27" s="12">
        <f>D26*D25</f>
        <v>86164.2</v>
      </c>
      <c r="E27" s="12" t="s">
        <v>29</v>
      </c>
    </row>
    <row r="28" ht="13.5"/>
    <row r="29" spans="3:4" ht="13.5">
      <c r="C29" s="12" t="s">
        <v>37</v>
      </c>
      <c r="D29" s="3">
        <f>2*PI()/D27</f>
        <v>7.292106590880652E-05</v>
      </c>
    </row>
    <row r="30" spans="4:17" ht="13.5">
      <c r="D30" s="3"/>
      <c r="Q30" s="12" t="s">
        <v>38</v>
      </c>
    </row>
    <row r="31" spans="3:19" ht="13.5">
      <c r="C31" s="12" t="s">
        <v>39</v>
      </c>
      <c r="G31" s="12" t="s">
        <v>40</v>
      </c>
      <c r="H31" s="12" t="s">
        <v>41</v>
      </c>
      <c r="I31" s="12" t="s">
        <v>42</v>
      </c>
      <c r="K31" s="12" t="s">
        <v>43</v>
      </c>
      <c r="N31" s="12" t="s">
        <v>44</v>
      </c>
      <c r="S31" s="12" t="s">
        <v>45</v>
      </c>
    </row>
    <row r="32" spans="2:21" ht="13.5">
      <c r="B32" s="12" t="s">
        <v>46</v>
      </c>
      <c r="C32" s="12" t="s">
        <v>47</v>
      </c>
      <c r="D32" s="12" t="s">
        <v>48</v>
      </c>
      <c r="G32" s="12" t="s">
        <v>47</v>
      </c>
      <c r="H32" s="12" t="s">
        <v>49</v>
      </c>
      <c r="I32" s="12" t="s">
        <v>50</v>
      </c>
      <c r="K32" s="12" t="s">
        <v>51</v>
      </c>
      <c r="L32" s="12" t="s">
        <v>52</v>
      </c>
      <c r="U32" s="12" t="s">
        <v>53</v>
      </c>
    </row>
    <row r="33" spans="14:15" ht="13.5">
      <c r="N33" s="12" t="s">
        <v>13</v>
      </c>
      <c r="O33" s="12" t="s">
        <v>54</v>
      </c>
    </row>
    <row r="34" spans="1:21" ht="13.5">
      <c r="A34" s="8">
        <f>H34-I34</f>
        <v>0</v>
      </c>
      <c r="B34" s="4">
        <f>$D$29</f>
        <v>7.292106590880652E-05</v>
      </c>
      <c r="C34" s="12">
        <v>0</v>
      </c>
      <c r="D34" s="10">
        <f>B34^2*H34*COS(G34*deg)</f>
        <v>0.033915431008382874</v>
      </c>
      <c r="E34" s="12" t="s">
        <v>13</v>
      </c>
      <c r="F34" s="9">
        <f>D34/K34</f>
        <v>0.0034613236764931216</v>
      </c>
      <c r="G34" s="12">
        <f>ATAN((1-e2_)*TAN(C34*deg))/deg</f>
        <v>0</v>
      </c>
      <c r="H34" s="8">
        <f>SQRT((a_*COS(G34*deg))^2+(b_*SIN(G34*deg))^2)</f>
        <v>6378100</v>
      </c>
      <c r="I34" s="8">
        <f>SQRT(((a_^2*COS(C34*deg))^2+(b_^2*SIN(C34*deg))^2)/((a_*COS(C34*deg))^2+(b_*SIN(C34*deg))^2))</f>
        <v>6378100</v>
      </c>
      <c r="J34" s="12" t="s">
        <v>12</v>
      </c>
      <c r="K34" s="6">
        <f>GM_/H34/H34</f>
        <v>9.798399161197391</v>
      </c>
      <c r="L34" s="6">
        <f>K34-D34</f>
        <v>9.764483730189008</v>
      </c>
      <c r="M34" s="6">
        <f>K34/gstd</f>
        <v>0.9991586485902313</v>
      </c>
      <c r="N34" s="6">
        <f>K34-D34</f>
        <v>9.764483730189008</v>
      </c>
      <c r="O34" s="6">
        <f>N34/gstd</f>
        <v>0.995700237103293</v>
      </c>
      <c r="Q34" s="12">
        <f>gstd</f>
        <v>9.80665</v>
      </c>
      <c r="S34" s="12">
        <f>$K$14*(1+$L$14*SIN(C34*deg)^2+$M$14*SIN(C34*deg)^4)</f>
        <v>9.780327</v>
      </c>
      <c r="U34" s="10">
        <f>g0_*(1+k_*SIN(C34*deg)^2)/SQRT(1-e2_*SIN(C34*deg)^2)</f>
        <v>9.7803267714</v>
      </c>
    </row>
    <row r="35" spans="1:21" ht="13.5">
      <c r="A35" s="8">
        <f>H35-I35</f>
        <v>1.070353077724576</v>
      </c>
      <c r="B35" s="4">
        <f>$D$29</f>
        <v>7.292106590880652E-05</v>
      </c>
      <c r="C35" s="12">
        <f>C34+5</f>
        <v>5</v>
      </c>
      <c r="D35" s="10">
        <f>B35^2*H35*COS(G35*deg)</f>
        <v>0.03378724064466757</v>
      </c>
      <c r="F35" s="9">
        <f>D35/K35</f>
        <v>0.0034480685477365934</v>
      </c>
      <c r="G35" s="12">
        <f>ATAN((1-e2_)*TAN(C35*deg))/deg</f>
        <v>4.966696087009284</v>
      </c>
      <c r="H35" s="8">
        <f>SQRT((a_*COS(G35*deg))^2+(b_*SIN(G35*deg))^2)</f>
        <v>6377940.6099985475</v>
      </c>
      <c r="I35" s="8">
        <f>SQRT(((a_^2*COS(C35*deg))^2+(b_^2*SIN(C35*deg))^2)/((a_*COS(C35*deg))^2+(b_*SIN(C35*deg))^2))</f>
        <v>6377939.53964547</v>
      </c>
      <c r="K35" s="6">
        <f>GM_/H35/H35</f>
        <v>9.798888907486031</v>
      </c>
      <c r="L35" s="6">
        <f>K35-D35</f>
        <v>9.765101666841364</v>
      </c>
      <c r="M35" s="6">
        <f>K35/gstd</f>
        <v>0.9992085888133084</v>
      </c>
      <c r="N35" s="6">
        <f>K35-D35</f>
        <v>9.765101666841364</v>
      </c>
      <c r="O35" s="6">
        <f>N35/gstd</f>
        <v>0.9957632491055931</v>
      </c>
      <c r="Q35" s="12">
        <f>gstd</f>
        <v>9.80665</v>
      </c>
      <c r="S35" s="12">
        <f>$K$14*(1+$L$14*SIN(C35*deg)^2+$M$14*SIN(C35*deg)^4)</f>
        <v>9.780710602439767</v>
      </c>
      <c r="U35" s="10">
        <f>g0_*(1+k_*SIN(C35*deg)^2)/SQRT(1-e2_*SIN(C35*deg)^2)</f>
        <v>9.78071897808483</v>
      </c>
    </row>
    <row r="36" spans="1:21" ht="13.5">
      <c r="A36" s="8">
        <f>H36-I36</f>
        <v>4.154496646486223</v>
      </c>
      <c r="B36" s="4">
        <f>$D$29</f>
        <v>7.292106590880652E-05</v>
      </c>
      <c r="C36" s="12">
        <f>C35+5</f>
        <v>10</v>
      </c>
      <c r="D36" s="10">
        <f>B36^2*H36*COS(G36*deg)</f>
        <v>0.033403585898404815</v>
      </c>
      <c r="F36" s="9">
        <f>D36/K36</f>
        <v>0.0034084094825248654</v>
      </c>
      <c r="G36" s="12">
        <f>ATAN((1-e2_)*TAN(C36*deg))/deg</f>
        <v>9.934394210279244</v>
      </c>
      <c r="H36" s="8">
        <f>SQRT((a_*COS(G36*deg))^2+(b_*SIN(G36*deg))^2)</f>
        <v>6377467.0689536305</v>
      </c>
      <c r="I36" s="8">
        <f>SQRT(((a_^2*COS(C36*deg))^2+(b_^2*SIN(C36*deg))^2)/((a_*COS(C36*deg))^2+(b_*SIN(C36*deg))^2))</f>
        <v>6377462.914456984</v>
      </c>
      <c r="K36" s="6">
        <f>GM_/H36/H36</f>
        <v>9.800344139889045</v>
      </c>
      <c r="L36" s="6">
        <f>K36-D36</f>
        <v>9.76694055399064</v>
      </c>
      <c r="M36" s="6">
        <f>K36/gstd</f>
        <v>0.999356981220809</v>
      </c>
      <c r="N36" s="6">
        <f>K36-D36</f>
        <v>9.76694055399064</v>
      </c>
      <c r="O36" s="6">
        <f>N36/gstd</f>
        <v>0.9959507634095884</v>
      </c>
      <c r="Q36" s="12">
        <f>gstd</f>
        <v>9.80665</v>
      </c>
      <c r="S36" s="12">
        <f>$K$14*(1+$L$14*SIN(C36*deg)^2+$M$14*SIN(C36*deg)^4)</f>
        <v>9.781849905138682</v>
      </c>
      <c r="U36" s="10">
        <f>g0_*(1+k_*SIN(C36*deg)^2)/SQRT(1-e2_*SIN(C36*deg)^2)</f>
        <v>9.7818838359854</v>
      </c>
    </row>
    <row r="37" spans="1:21" ht="13.5">
      <c r="A37" s="8">
        <f>H37-I37</f>
        <v>8.88644823152572</v>
      </c>
      <c r="B37" s="4">
        <f>$D$29</f>
        <v>7.292106590880652E-05</v>
      </c>
      <c r="C37" s="12">
        <f>C36+5</f>
        <v>15</v>
      </c>
      <c r="D37" s="10">
        <f>B37^2*H37*COS(G37*deg)</f>
        <v>0.03276721288535134</v>
      </c>
      <c r="F37" s="9">
        <f>D37/K37</f>
        <v>0.0033426643128445315</v>
      </c>
      <c r="G37" s="12">
        <f>ATAN((1-e2_)*TAN(C37*deg))/deg</f>
        <v>14.904067139652968</v>
      </c>
      <c r="H37" s="8">
        <f>SQRT((a_*COS(G37*deg))^2+(b_*SIN(G37*deg))^2)</f>
        <v>6376693.148209405</v>
      </c>
      <c r="I37" s="8">
        <f>SQRT(((a_^2*COS(C37*deg))^2+(b_^2*SIN(C37*deg))^2)/((a_*COS(C37*deg))^2+(b_*SIN(C37*deg))^2))</f>
        <v>6376684.261761174</v>
      </c>
      <c r="K37" s="6">
        <f>GM_/H37/H37</f>
        <v>9.802723162909285</v>
      </c>
      <c r="L37" s="6">
        <f>K37-D37</f>
        <v>9.769955950023933</v>
      </c>
      <c r="M37" s="6">
        <f>K37/gstd</f>
        <v>0.9995995740552875</v>
      </c>
      <c r="N37" s="6">
        <f>K37-D37</f>
        <v>9.769955950023933</v>
      </c>
      <c r="O37" s="6">
        <f>N37/gstd</f>
        <v>0.9962582482319583</v>
      </c>
      <c r="Q37" s="12">
        <f>gstd</f>
        <v>9.80665</v>
      </c>
      <c r="S37" s="12">
        <f>$K$14*(1+$L$14*SIN(C37*deg)^2+$M$14*SIN(C37*deg)^4)</f>
        <v>9.783710725591405</v>
      </c>
      <c r="U37" s="10">
        <f>g0_*(1+k_*SIN(C37*deg)^2)/SQRT(1-e2_*SIN(C37*deg)^2)</f>
        <v>9.783786397531157</v>
      </c>
    </row>
    <row r="38" spans="1:21" ht="13.5">
      <c r="A38" s="8">
        <f>H38-I38</f>
        <v>14.703812261112034</v>
      </c>
      <c r="B38" s="4">
        <f>$D$29</f>
        <v>7.292106590880652E-05</v>
      </c>
      <c r="C38" s="12">
        <f>C37+5</f>
        <v>20</v>
      </c>
      <c r="D38" s="10">
        <f>B38^2*H38*COS(G38*deg)</f>
        <v>0.031882688479178724</v>
      </c>
      <c r="F38" s="9">
        <f>D38/K38</f>
        <v>0.0032513590098059847</v>
      </c>
      <c r="G38" s="12">
        <f>ATAN((1-e2_)*TAN(C38*deg))/deg</f>
        <v>19.876629862374887</v>
      </c>
      <c r="H38" s="8">
        <f>SQRT((a_*COS(G38*deg))^2+(b_*SIN(G38*deg))^2)</f>
        <v>6375641.415557012</v>
      </c>
      <c r="I38" s="8">
        <f>SQRT(((a_^2*COS(C38*deg))^2+(b_^2*SIN(C38*deg))^2)/((a_*COS(C38*deg))^2+(b_*SIN(C38*deg))^2))</f>
        <v>6375626.711744751</v>
      </c>
      <c r="K38" s="6">
        <f>GM_/H38/H38</f>
        <v>9.80595756513558</v>
      </c>
      <c r="L38" s="6">
        <f>K38-D38</f>
        <v>9.774074876656401</v>
      </c>
      <c r="M38" s="6">
        <f>K38/gstd</f>
        <v>0.9999293912942321</v>
      </c>
      <c r="N38" s="6">
        <f>K38-D38</f>
        <v>9.774074876656401</v>
      </c>
      <c r="O38" s="6">
        <f>N38/gstd</f>
        <v>0.9966782618586777</v>
      </c>
      <c r="Q38" s="12">
        <f>gstd</f>
        <v>9.80665</v>
      </c>
      <c r="S38" s="12">
        <f>$K$14*(1+$L$14*SIN(C38*deg)^2+$M$14*SIN(C38*deg)^4)</f>
        <v>9.786237189602875</v>
      </c>
      <c r="U38" s="10">
        <f>g0_*(1+k_*SIN(C38*deg)^2)/SQRT(1-e2_*SIN(C38*deg)^2)</f>
        <v>9.786369538294174</v>
      </c>
    </row>
    <row r="39" spans="1:21" ht="13.5">
      <c r="A39" s="8">
        <f>H39-I39</f>
        <v>20.913565235212445</v>
      </c>
      <c r="B39" s="4">
        <f>$D$29</f>
        <v>7.292106590880652E-05</v>
      </c>
      <c r="C39" s="12">
        <f>C38+5</f>
        <v>25</v>
      </c>
      <c r="D39" s="10">
        <f>B39^2*H39*COS(G39*deg)</f>
        <v>0.030756384456614258</v>
      </c>
      <c r="F39" s="9">
        <f>D39/K39</f>
        <v>0.003135222136952909</v>
      </c>
      <c r="G39" s="12">
        <f>ATAN((1-e2_)*TAN(C39*deg))/deg</f>
        <v>24.85291256048298</v>
      </c>
      <c r="H39" s="8">
        <f>SQRT((a_*COS(G39*deg))^2+(b_*SIN(G39*deg))^2)</f>
        <v>6374342.661163462</v>
      </c>
      <c r="I39" s="8">
        <f>SQRT(((a_^2*COS(C39*deg))^2+(b_^2*SIN(C39*deg))^2)/((a_*COS(C39*deg))^2+(b_*SIN(C39*deg))^2))</f>
        <v>6374321.747598227</v>
      </c>
      <c r="K39" s="6">
        <f>GM_/H39/H39</f>
        <v>9.809953844771611</v>
      </c>
      <c r="L39" s="6">
        <f>K39-D39</f>
        <v>9.779197460314997</v>
      </c>
      <c r="M39" s="6">
        <f>K39/gstd</f>
        <v>1.0003368984078775</v>
      </c>
      <c r="N39" s="6">
        <f>K39-D39</f>
        <v>9.779197460314997</v>
      </c>
      <c r="O39" s="6">
        <f>N39/gstd</f>
        <v>0.9972006200195783</v>
      </c>
      <c r="Q39" s="12">
        <f>gstd</f>
        <v>9.80665</v>
      </c>
      <c r="S39" s="12">
        <f>$K$14*(1+$L$14*SIN(C39*deg)^2+$M$14*SIN(C39*deg)^4)</f>
        <v>9.789353348680985</v>
      </c>
      <c r="U39" s="10">
        <f>g0_*(1+k_*SIN(C39*deg)^2)/SQRT(1-e2_*SIN(C39*deg)^2)</f>
        <v>9.789555610869728</v>
      </c>
    </row>
    <row r="40" spans="1:21" ht="13.5">
      <c r="A40" s="8">
        <f>H40-I40</f>
        <v>26.77357100136578</v>
      </c>
      <c r="B40" s="4">
        <f>$D$29</f>
        <v>7.292106590880652E-05</v>
      </c>
      <c r="C40" s="12">
        <f>C39+5</f>
        <v>30</v>
      </c>
      <c r="D40" s="10">
        <f>B40^2*H40*COS(G40*deg)</f>
        <v>0.029396453622947318</v>
      </c>
      <c r="F40" s="9">
        <f>D40/K40</f>
        <v>0.002995177239497456</v>
      </c>
      <c r="G40" s="12">
        <f>ATAN((1-e2_)*TAN(C40*deg))/deg</f>
        <v>29.833635809829346</v>
      </c>
      <c r="H40" s="8">
        <f>SQRT((a_*COS(G40*deg))^2+(b_*SIN(G40*deg))^2)</f>
        <v>6372835.100037497</v>
      </c>
      <c r="I40" s="8">
        <f>SQRT(((a_^2*COS(C40*deg))^2+(b_^2*SIN(C40*deg))^2)/((a_*COS(C40*deg))^2+(b_*SIN(C40*deg))^2))</f>
        <v>6372808.326466495</v>
      </c>
      <c r="K40" s="6">
        <f>GM_/H40/H40</f>
        <v>9.814595689128428</v>
      </c>
      <c r="L40" s="6">
        <f>K40-D40</f>
        <v>9.78519923550548</v>
      </c>
      <c r="M40" s="6">
        <f>K40/gstd</f>
        <v>1.000810234802754</v>
      </c>
      <c r="N40" s="6">
        <f>K40-D40</f>
        <v>9.78519923550548</v>
      </c>
      <c r="O40" s="6">
        <f>N40/gstd</f>
        <v>0.9978126307664168</v>
      </c>
      <c r="Q40" s="12">
        <f>gstd</f>
        <v>9.80665</v>
      </c>
      <c r="S40" s="12">
        <f>$K$14*(1+$L$14*SIN(C40*deg)^2+$M$14*SIN(C40*deg)^4)</f>
        <v>9.79296538917028</v>
      </c>
      <c r="U40" s="10">
        <f>g0_*(1+k_*SIN(C40*deg)^2)/SQRT(1-e2_*SIN(C40*deg)^2)</f>
        <v>9.793248703513784</v>
      </c>
    </row>
    <row r="41" spans="1:21" ht="13.5">
      <c r="A41" s="8">
        <f>H41-I41</f>
        <v>31.580536075867712</v>
      </c>
      <c r="B41" s="4">
        <f>$D$29</f>
        <v>7.292106590880652E-05</v>
      </c>
      <c r="C41" s="12">
        <f>C40+5</f>
        <v>35</v>
      </c>
      <c r="D41" s="10">
        <f>B41^2*H41*COS(G41*deg)</f>
        <v>0.02781279640852423</v>
      </c>
      <c r="F41" s="9">
        <f>D41/K41</f>
        <v>0.0028323333262967928</v>
      </c>
      <c r="G41" s="12">
        <f>ATAN((1-e2_)*TAN(C41*deg))/deg</f>
        <v>34.81938870234991</v>
      </c>
      <c r="H41" s="8">
        <f>SQRT((a_*COS(G41*deg))^2+(b_*SIN(G41*deg))^2)</f>
        <v>6371163.3593215775</v>
      </c>
      <c r="I41" s="8">
        <f>SQRT(((a_^2*COS(C41*deg))^2+(b_^2*SIN(C41*deg))^2)/((a_*COS(C41*deg))^2+(b_*SIN(C41*deg))^2))</f>
        <v>6371131.778785502</v>
      </c>
      <c r="K41" s="6">
        <f>GM_/H41/H41</f>
        <v>9.819746902773193</v>
      </c>
      <c r="L41" s="6">
        <f>K41-D41</f>
        <v>9.79193410636467</v>
      </c>
      <c r="M41" s="6">
        <f>K41/gstd</f>
        <v>1.001335512409762</v>
      </c>
      <c r="N41" s="6">
        <f>K41-D41</f>
        <v>9.79193410636467</v>
      </c>
      <c r="O41" s="6">
        <f>N41/gstd</f>
        <v>0.9984993964671596</v>
      </c>
      <c r="Q41" s="12">
        <f>gstd</f>
        <v>9.80665</v>
      </c>
      <c r="S41" s="12">
        <f>$K$14*(1+$L$14*SIN(C41*deg)^2+$M$14*SIN(C41*deg)^4)</f>
        <v>9.796964377886697</v>
      </c>
      <c r="U41" s="10">
        <f>g0_*(1+k_*SIN(C41*deg)^2)/SQRT(1-e2_*SIN(C41*deg)^2)</f>
        <v>9.7973374468672</v>
      </c>
    </row>
    <row r="42" spans="1:21" ht="13.5">
      <c r="A42" s="8">
        <f>H42-I42</f>
        <v>34.75420484598726</v>
      </c>
      <c r="B42" s="4">
        <f>$D$29</f>
        <v>7.292106590880652E-05</v>
      </c>
      <c r="C42" s="12">
        <f>C41+5</f>
        <v>40</v>
      </c>
      <c r="D42" s="10">
        <f>B42^2*H42*COS(G42*deg)</f>
        <v>0.0260170162234661</v>
      </c>
      <c r="F42" s="9">
        <f>D42/K42</f>
        <v>0.002647973646950072</v>
      </c>
      <c r="G42" s="12">
        <f>ATAN((1-e2_)*TAN(C42*deg))/deg</f>
        <v>39.810610551928754</v>
      </c>
      <c r="H42" s="8">
        <f>SQRT((a_*COS(G42*deg))^2+(b_*SIN(G42*deg))^2)</f>
        <v>6369377.2638045</v>
      </c>
      <c r="I42" s="8">
        <f>SQRT(((a_^2*COS(C42*deg))^2+(b_^2*SIN(C42*deg))^2)/((a_*COS(C42*deg))^2+(b_*SIN(C42*deg))^2))</f>
        <v>6369342.509599654</v>
      </c>
      <c r="K42" s="6">
        <f>GM_/H42/H42</f>
        <v>9.825254965596965</v>
      </c>
      <c r="L42" s="6">
        <f>K42-D42</f>
        <v>9.799237949373499</v>
      </c>
      <c r="M42" s="6">
        <f>K42/gstd</f>
        <v>1.0018971785061122</v>
      </c>
      <c r="N42" s="6">
        <f>K42-D42</f>
        <v>9.799237949373499</v>
      </c>
      <c r="O42" s="6">
        <f>N42/gstd</f>
        <v>0.9992441811804744</v>
      </c>
      <c r="Q42" s="12">
        <f>gstd</f>
        <v>9.80665</v>
      </c>
      <c r="S42" s="12">
        <f>$K$14*(1+$L$14*SIN(C42*deg)^2+$M$14*SIN(C42*deg)^4)</f>
        <v>9.801229473474457</v>
      </c>
      <c r="U42" s="10">
        <f>g0_*(1+k_*SIN(C42*deg)^2)/SQRT(1-e2_*SIN(C42*deg)^2)</f>
        <v>9.801698296318595</v>
      </c>
    </row>
    <row r="43" spans="1:21" ht="13.5">
      <c r="A43" s="8">
        <f>H43-I43</f>
        <v>35.907805759459734</v>
      </c>
      <c r="B43" s="4">
        <f>$D$29</f>
        <v>7.292106590880652E-05</v>
      </c>
      <c r="C43" s="12">
        <f>C42+5</f>
        <v>45</v>
      </c>
      <c r="D43" s="10">
        <f>B43^2*H43*COS(G43*deg)</f>
        <v>0.024022361803837915</v>
      </c>
      <c r="F43" s="5">
        <f>D43/K43</f>
        <v>0.002443543008827234</v>
      </c>
      <c r="G43" s="11">
        <f>ATAN((1-e2_)*TAN(C43*deg))/deg</f>
        <v>44.807576784018366</v>
      </c>
      <c r="H43" s="13">
        <f>SQRT((a_*COS(G43*deg))^2+(b_*SIN(G43*deg))^2)</f>
        <v>6367530.439702179</v>
      </c>
      <c r="I43" s="13">
        <f>SQRT(((a_^2*COS(C43*deg))^2+(b_^2*SIN(C43*deg))^2)/((a_*COS(C43*deg))^2+(b_*SIN(C43*deg))^2))</f>
        <v>6367494.53189642</v>
      </c>
      <c r="K43" s="6">
        <f>GM_/H43/H43</f>
        <v>9.830955181495792</v>
      </c>
      <c r="L43" s="6">
        <f>K43-D43</f>
        <v>9.806932819691955</v>
      </c>
      <c r="M43" s="6">
        <f>K43/gstd</f>
        <v>1.0024784387630632</v>
      </c>
      <c r="N43" s="6">
        <f>K43-D43</f>
        <v>9.806932819691955</v>
      </c>
      <c r="O43" s="6">
        <f>N43/gstd</f>
        <v>1.0000288395825236</v>
      </c>
      <c r="Q43" s="12">
        <f>gstd</f>
        <v>9.80665</v>
      </c>
      <c r="S43" s="12">
        <f>$K$14*(1+$L$14*SIN(C43*deg)^2+$M$14*SIN(C43*deg)^4)</f>
        <v>9.805631517793012</v>
      </c>
      <c r="U43" s="10">
        <f>g0_*(1+k_*SIN(C43*deg)^2)/SQRT(1-e2_*SIN(C43*deg)^2)</f>
        <v>9.806199202469186</v>
      </c>
    </row>
    <row r="44" spans="1:21" ht="13.5">
      <c r="A44" s="8">
        <f>H44-I44</f>
        <v>34.896128280088305</v>
      </c>
      <c r="B44" s="4">
        <f>$D$29</f>
        <v>7.292106590880652E-05</v>
      </c>
      <c r="C44" s="12">
        <f>C43+5</f>
        <v>50</v>
      </c>
      <c r="D44" s="10">
        <f>B44^2*H44*COS(G44*deg)</f>
        <v>0.021843654888325088</v>
      </c>
      <c r="F44" s="9">
        <f>D44/K44</f>
        <v>0.0022206339142879926</v>
      </c>
      <c r="G44" s="12">
        <f>ATAN((1-e2_)*TAN(C44*deg))/deg</f>
        <v>49.810389526291</v>
      </c>
      <c r="H44" s="8">
        <f>SQRT((a_*COS(G44*deg))^2+(b_*SIN(G44*deg))^2)</f>
        <v>6365678.764770872</v>
      </c>
      <c r="I44" s="8">
        <f>SQRT(((a_^2*COS(C44*deg))^2+(b_^2*SIN(C44*deg))^2)/((a_*COS(C44*deg))^2+(b_*SIN(C44*deg))^2))</f>
        <v>6365643.868642592</v>
      </c>
      <c r="K44" s="6">
        <f>GM_/H44/H44</f>
        <v>9.836675351024201</v>
      </c>
      <c r="L44" s="6">
        <f>K44-D44</f>
        <v>9.814831696135876</v>
      </c>
      <c r="M44" s="6">
        <f>K44/gstd</f>
        <v>1.0030617337239731</v>
      </c>
      <c r="N44" s="6">
        <f>K44-D44</f>
        <v>9.814831696135876</v>
      </c>
      <c r="O44" s="6">
        <f>N44/gstd</f>
        <v>1.0008343008199412</v>
      </c>
      <c r="Q44" s="12">
        <f>gstd</f>
        <v>9.80665</v>
      </c>
      <c r="S44" s="12">
        <f>$K$14*(1+$L$14*SIN(C44*deg)^2+$M$14*SIN(C44*deg)^4)</f>
        <v>9.810036907898922</v>
      </c>
      <c r="U44" s="10">
        <f>g0_*(1+k_*SIN(C44*deg)^2)/SQRT(1-e2_*SIN(C44*deg)^2)</f>
        <v>9.810703568277107</v>
      </c>
    </row>
    <row r="45" spans="1:21" ht="13.5">
      <c r="A45" s="8">
        <f>H45-I45</f>
        <v>31.83504748623818</v>
      </c>
      <c r="B45" s="4">
        <f>$D$29</f>
        <v>7.292106590880652E-05</v>
      </c>
      <c r="C45" s="12">
        <f>C44+5</f>
        <v>55</v>
      </c>
      <c r="D45" s="10">
        <f>B45^2*H45*COS(G45*deg)</f>
        <v>0.019497201828825462</v>
      </c>
      <c r="F45" s="9">
        <f>D45/K45</f>
        <v>0.0019809718222605515</v>
      </c>
      <c r="G45" s="12">
        <f>ATAN((1-e2_)*TAN(C45*deg))/deg</f>
        <v>54.81897330921474</v>
      </c>
      <c r="H45" s="8">
        <f>SQRT((a_*COS(G45*deg))^2+(b_*SIN(G45*deg))^2)</f>
        <v>6363878.701751636</v>
      </c>
      <c r="I45" s="8">
        <f>SQRT(((a_^2*COS(C45*deg))^2+(b_^2*SIN(C45*deg))^2)/((a_*COS(C45*deg))^2+(b_*SIN(C45*deg))^2))</f>
        <v>6363846.86670415</v>
      </c>
      <c r="K45" s="6">
        <f>GM_/H45/H45</f>
        <v>9.842240868714917</v>
      </c>
      <c r="L45" s="6">
        <f>K45-D45</f>
        <v>9.822743666886092</v>
      </c>
      <c r="M45" s="6">
        <f>K45/gstd</f>
        <v>1.003629258586257</v>
      </c>
      <c r="N45" s="6">
        <f>K45-D45</f>
        <v>9.822743666886092</v>
      </c>
      <c r="O45" s="6">
        <f>N45/gstd</f>
        <v>1.0016410973050014</v>
      </c>
      <c r="Q45" s="12">
        <f>gstd</f>
        <v>9.80665</v>
      </c>
      <c r="S45" s="12">
        <f>$K$14*(1+$L$14*SIN(C45*deg)^2+$M$14*SIN(C45*deg)^4)</f>
        <v>9.814311637297418</v>
      </c>
      <c r="U45" s="10">
        <f>g0_*(1+k_*SIN(C45*deg)^2)/SQRT(1-e2_*SIN(C45*deg)^2)</f>
        <v>9.81507437942396</v>
      </c>
    </row>
    <row r="46" spans="1:21" ht="13.5">
      <c r="A46" s="8">
        <f>H46-I46</f>
        <v>27.08959478326142</v>
      </c>
      <c r="B46" s="4">
        <f>$D$29</f>
        <v>7.292106590880652E-05</v>
      </c>
      <c r="C46" s="12">
        <f>C45+5</f>
        <v>60</v>
      </c>
      <c r="D46" s="10">
        <f>B46^2*H46*COS(G46*deg)</f>
        <v>0.0170006881479882</v>
      </c>
      <c r="F46" s="9">
        <f>D46/K46</f>
        <v>0.001726399846214195</v>
      </c>
      <c r="G46" s="12">
        <f>ATAN((1-e2_)*TAN(C46*deg))/deg</f>
        <v>59.83307615049292</v>
      </c>
      <c r="H46" s="8">
        <f>SQRT((a_*COS(G46*deg))^2+(b_*SIN(G46*deg))^2)</f>
        <v>6362185.561302267</v>
      </c>
      <c r="I46" s="8">
        <f>SQRT(((a_^2*COS(C46*deg))^2+(b_^2*SIN(C46*deg))^2)/((a_*COS(C46*deg))^2+(b_*SIN(C46*deg))^2))</f>
        <v>6362158.471707484</v>
      </c>
      <c r="K46" s="6">
        <f>GM_/H46/H46</f>
        <v>9.847480110282007</v>
      </c>
      <c r="L46" s="6">
        <f>K46-D46</f>
        <v>9.830479422134019</v>
      </c>
      <c r="M46" s="6">
        <f>K46/gstd</f>
        <v>1.004163512543224</v>
      </c>
      <c r="N46" s="6">
        <f>K46-D46</f>
        <v>9.830479422134019</v>
      </c>
      <c r="O46" s="6">
        <f>N46/gstd</f>
        <v>1.0024299248095954</v>
      </c>
      <c r="Q46" s="12">
        <f>gstd</f>
        <v>9.80665</v>
      </c>
      <c r="S46" s="12">
        <f>$K$14*(1+$L$14*SIN(C46*deg)^2+$M$14*SIN(C46*deg)^4)</f>
        <v>9.8183253858682</v>
      </c>
      <c r="U46" s="10">
        <f>g0_*(1+k_*SIN(C46*deg)^2)/SQRT(1-e2_*SIN(C46*deg)^2)</f>
        <v>9.819178385006785</v>
      </c>
    </row>
    <row r="47" spans="1:21" ht="13.5">
      <c r="A47" s="8">
        <f>H47-I47</f>
        <v>21.231449858285487</v>
      </c>
      <c r="B47" s="4">
        <f>$D$29</f>
        <v>7.292106590880652E-05</v>
      </c>
      <c r="C47" s="12">
        <f>C46+5</f>
        <v>65</v>
      </c>
      <c r="D47" s="10">
        <f>B47^2*H47*COS(G47*deg)</f>
        <v>0.014373055587319572</v>
      </c>
      <c r="F47" s="9">
        <f>D47/K47</f>
        <v>0.0014588631888102427</v>
      </c>
      <c r="G47" s="12">
        <f>ATAN((1-e2_)*TAN(C47*deg))/deg</f>
        <v>64.85227613702484</v>
      </c>
      <c r="H47" s="8">
        <f>SQRT((a_*COS(G47*deg))^2+(b_*SIN(G47*deg))^2)</f>
        <v>6360651.749056605</v>
      </c>
      <c r="I47" s="8">
        <f>SQRT(((a_^2*COS(C47*deg))^2+(b_^2*SIN(C47*deg))^2)/((a_*COS(C47*deg))^2+(b_*SIN(C47*deg))^2))</f>
        <v>6360630.517606746</v>
      </c>
      <c r="K47" s="6">
        <f>GM_/H47/H47</f>
        <v>9.85222994010928</v>
      </c>
      <c r="L47" s="6">
        <f>K47-D47</f>
        <v>9.837856884521962</v>
      </c>
      <c r="M47" s="6">
        <f>K47/gstd</f>
        <v>1.0046478603915996</v>
      </c>
      <c r="N47" s="6">
        <f>K47-D47</f>
        <v>9.837856884521962</v>
      </c>
      <c r="O47" s="6">
        <f>N47/gstd</f>
        <v>1.0031822166103574</v>
      </c>
      <c r="Q47" s="12">
        <f>gstd</f>
        <v>9.80665</v>
      </c>
      <c r="S47" s="12">
        <f>$K$14*(1+$L$14*SIN(C47*deg)^2+$M$14*SIN(C47*deg)^4)</f>
        <v>9.821955531999214</v>
      </c>
      <c r="U47" s="10">
        <f>g0_*(1+k_*SIN(C47*deg)^2)/SQRT(1-e2_*SIN(C47*deg)^2)</f>
        <v>9.822890199590582</v>
      </c>
    </row>
    <row r="48" spans="1:21" ht="13.5">
      <c r="A48" s="8">
        <f>H48-I48</f>
        <v>14.970552787184715</v>
      </c>
      <c r="B48" s="4">
        <f>$D$29</f>
        <v>7.292106590880652E-05</v>
      </c>
      <c r="C48" s="12">
        <f>C47+5</f>
        <v>70</v>
      </c>
      <c r="D48" s="10">
        <f>B48^2*H48*COS(G48*deg)</f>
        <v>0.01163436180759622</v>
      </c>
      <c r="F48" s="9">
        <f>D48/K48</f>
        <v>0.0011803935804420304</v>
      </c>
      <c r="G48" s="12">
        <f>ATAN((1-e2_)*TAN(C48*deg))/deg</f>
        <v>69.87599343642376</v>
      </c>
      <c r="H48" s="8">
        <f>SQRT((a_*COS(G48*deg))^2+(b_*SIN(G48*deg))^2)</f>
        <v>6359325.058247688</v>
      </c>
      <c r="I48" s="8">
        <f>SQRT(((a_^2*COS(C48*deg))^2+(b_^2*SIN(C48*deg))^2)/((a_*COS(C48*deg))^2+(b_*SIN(C48*deg))^2))</f>
        <v>6359310.087694901</v>
      </c>
      <c r="K48" s="6">
        <f>GM_/H48/H48</f>
        <v>9.8563411394015</v>
      </c>
      <c r="L48" s="6">
        <f>K48-D48</f>
        <v>9.844706777593904</v>
      </c>
      <c r="M48" s="6">
        <f>K48/gstd</f>
        <v>1.0050670860489057</v>
      </c>
      <c r="N48" s="6">
        <f>K48-D48</f>
        <v>9.844706777593904</v>
      </c>
      <c r="O48" s="6">
        <f>N48/gstd</f>
        <v>1.00388071131262</v>
      </c>
      <c r="Q48" s="12">
        <f>gstd</f>
        <v>9.80665</v>
      </c>
      <c r="S48" s="12">
        <f>$K$14*(1+$L$14*SIN(C48*deg)^2+$M$14*SIN(C48*deg)^4)</f>
        <v>9.825090958698791</v>
      </c>
      <c r="U48" s="10">
        <f>g0_*(1+k_*SIN(C48*deg)^2)/SQRT(1-e2_*SIN(C48*deg)^2)</f>
        <v>9.826096195691276</v>
      </c>
    </row>
    <row r="49" spans="1:21" ht="13.5">
      <c r="A49" s="8">
        <f>H49-I49</f>
        <v>9.068911847658455</v>
      </c>
      <c r="B49" s="4">
        <f>$D$29</f>
        <v>7.292106590880652E-05</v>
      </c>
      <c r="C49" s="12">
        <f>C48+5</f>
        <v>75</v>
      </c>
      <c r="D49" s="10">
        <f>B49^2*H49*COS(G49*deg)</f>
        <v>0.008805623569220883</v>
      </c>
      <c r="F49" s="9">
        <f>D49/K49</f>
        <v>0.0008930939353623163</v>
      </c>
      <c r="G49" s="12">
        <f>ATAN((1-e2_)*TAN(C49*deg))/deg</f>
        <v>74.90350747400409</v>
      </c>
      <c r="H49" s="8">
        <f>SQRT((a_*COS(G49*deg))^2+(b_*SIN(G49*deg))^2)</f>
        <v>6358247.073428237</v>
      </c>
      <c r="I49" s="8">
        <f>SQRT(((a_^2*COS(C49*deg))^2+(b_^2*SIN(C49*deg))^2)/((a_*COS(C49*deg))^2+(b_*SIN(C49*deg))^2))</f>
        <v>6358238.004516389</v>
      </c>
      <c r="K49" s="6">
        <f>GM_/H49/H49</f>
        <v>9.859683534463324</v>
      </c>
      <c r="L49" s="6">
        <f>K49-D49</f>
        <v>9.850877910894102</v>
      </c>
      <c r="M49" s="6">
        <f>K49/gstd</f>
        <v>1.0054079154923776</v>
      </c>
      <c r="N49" s="6">
        <f>K49-D49</f>
        <v>9.850877910894102</v>
      </c>
      <c r="O49" s="6">
        <f>N49/gstd</f>
        <v>1.004509991780486</v>
      </c>
      <c r="Q49" s="12">
        <f>gstd</f>
        <v>9.80665</v>
      </c>
      <c r="S49" s="12">
        <f>$K$14*(1+$L$14*SIN(C49*deg)^2+$M$14*SIN(C49*deg)^4)</f>
        <v>9.82763552835198</v>
      </c>
      <c r="U49" s="10">
        <f>g0_*(1+k_*SIN(C49*deg)^2)/SQRT(1-e2_*SIN(C49*deg)^2)</f>
        <v>9.828698058493657</v>
      </c>
    </row>
    <row r="50" spans="1:21" ht="13.5">
      <c r="A50" s="8">
        <f>H50-I50</f>
        <v>4.2471368266269565</v>
      </c>
      <c r="B50" s="4">
        <f>$D$29</f>
        <v>7.292106590880652E-05</v>
      </c>
      <c r="C50" s="12">
        <f>C49+5</f>
        <v>80</v>
      </c>
      <c r="D50" s="10">
        <f>B50^2*H50*COS(G50*deg)</f>
        <v>0.0059086448910655315</v>
      </c>
      <c r="F50" s="9">
        <f>D50/K50</f>
        <v>0.0005991233689991236</v>
      </c>
      <c r="G50" s="12">
        <f>ATAN((1-e2_)*TAN(C50*deg))/deg</f>
        <v>79.93397880996578</v>
      </c>
      <c r="H50" s="8">
        <f>SQRT((a_*COS(G50*deg))^2+(b_*SIN(G50*deg))^2)</f>
        <v>6357451.751345909</v>
      </c>
      <c r="I50" s="8">
        <f>SQRT(((a_^2*COS(C50*deg))^2+(b_^2*SIN(C50*deg))^2)/((a_*COS(C50*deg))^2+(b_*SIN(C50*deg))^2))</f>
        <v>6357447.504209083</v>
      </c>
      <c r="K50" s="6">
        <f>GM_/H50/H50</f>
        <v>9.862150596689835</v>
      </c>
      <c r="L50" s="6">
        <f>K50-D50</f>
        <v>9.85624195179877</v>
      </c>
      <c r="M50" s="6">
        <f>K50/gstd</f>
        <v>1.0056594858274575</v>
      </c>
      <c r="N50" s="6">
        <f>K50-D50</f>
        <v>9.85624195179877</v>
      </c>
      <c r="O50" s="6">
        <f>N50/gstd</f>
        <v>1.0050569717282427</v>
      </c>
      <c r="Q50" s="12">
        <f>gstd</f>
        <v>9.80665</v>
      </c>
      <c r="S50" s="12">
        <f>$K$14*(1+$L$14*SIN(C50*deg)^2+$M$14*SIN(C50*deg)^4)</f>
        <v>9.829511108659064</v>
      </c>
      <c r="U50" s="10">
        <f>g0_*(1+k_*SIN(C50*deg)^2)/SQRT(1-e2_*SIN(C50*deg)^2)</f>
        <v>9.830615882421453</v>
      </c>
    </row>
    <row r="51" spans="1:21" ht="13.5">
      <c r="A51" s="8">
        <f>H51-I51</f>
        <v>1.0953798638656735</v>
      </c>
      <c r="B51" s="4">
        <f>$D$29</f>
        <v>7.292106590880652E-05</v>
      </c>
      <c r="C51" s="12">
        <f>C50+5</f>
        <v>85</v>
      </c>
      <c r="D51" s="10">
        <f>B51^2*H51*COS(G51*deg)</f>
        <v>0.002965832319918613</v>
      </c>
      <c r="F51" s="9">
        <f>D51/K51</f>
        <v>0.00030068264006517445</v>
      </c>
      <c r="G51" s="12">
        <f>ATAN((1-e2_)*TAN(C51*deg))/deg</f>
        <v>84.96647505668625</v>
      </c>
      <c r="H51" s="8">
        <f>SQRT((a_*COS(G51*deg))^2+(b_*SIN(G51*deg))^2)</f>
        <v>6356964.241387729</v>
      </c>
      <c r="I51" s="8">
        <f>SQRT(((a_^2*COS(C51*deg))^2+(b_^2*SIN(C51*deg))^2)/((a_*COS(C51*deg))^2+(b_*SIN(C51*deg))^2))</f>
        <v>6356963.146007865</v>
      </c>
      <c r="K51" s="6">
        <f>GM_/H51/H51</f>
        <v>9.863663293882727</v>
      </c>
      <c r="L51" s="6">
        <f>K51-D51</f>
        <v>9.860697461562808</v>
      </c>
      <c r="M51" s="6">
        <f>K51/gstd</f>
        <v>1.0058137380127492</v>
      </c>
      <c r="N51" s="6">
        <f>K51-D51</f>
        <v>9.860697461562808</v>
      </c>
      <c r="O51" s="6">
        <f>N51/gstd</f>
        <v>1.0055113072825896</v>
      </c>
      <c r="Q51" s="12">
        <f>gstd</f>
        <v>9.80665</v>
      </c>
      <c r="S51" s="12">
        <f>$K$14*(1+$L$14*SIN(C51*deg)^2+$M$14*SIN(C51*deg)^4)</f>
        <v>9.830660045168717</v>
      </c>
      <c r="U51" s="10">
        <f>g0_*(1+k_*SIN(C51*deg)^2)/SQRT(1-e2_*SIN(C51*deg)^2)</f>
        <v>9.831790702151704</v>
      </c>
    </row>
    <row r="52" spans="1:21" ht="13.5">
      <c r="A52" s="8">
        <f>H52-I52</f>
        <v>0</v>
      </c>
      <c r="B52" s="4">
        <f>$D$29</f>
        <v>7.292106590880652E-05</v>
      </c>
      <c r="C52" s="12">
        <f>C51+5</f>
        <v>90</v>
      </c>
      <c r="D52" s="10">
        <f>B52^2*H52*COS(G52*deg)</f>
        <v>2.0697858817612853E-18</v>
      </c>
      <c r="F52" s="9">
        <f>D52/K52</f>
        <v>2.0982862752303026E-19</v>
      </c>
      <c r="G52" s="12">
        <f>ATAN((1-e2_)*TAN(C52*deg))/deg</f>
        <v>90</v>
      </c>
      <c r="H52" s="8">
        <f>SQRT((a_*COS(G52*deg))^2+(b_*SIN(G52*deg))^2)</f>
        <v>6356800</v>
      </c>
      <c r="I52" s="8">
        <f>SQRT(((a_^2*COS(C52*deg))^2+(b_^2*SIN(C52*deg))^2)/((a_*COS(C52*deg))^2+(b_*SIN(C52*deg))^2))</f>
        <v>6356800</v>
      </c>
      <c r="K52" s="6">
        <f>GM_/H52/H52</f>
        <v>9.864172997719821</v>
      </c>
      <c r="L52" s="6">
        <f>K52-D52</f>
        <v>9.864172997719821</v>
      </c>
      <c r="M52" s="6">
        <f>K52/gstd</f>
        <v>1.0058657133393996</v>
      </c>
      <c r="N52" s="6">
        <f>K52-D52</f>
        <v>9.864172997719821</v>
      </c>
      <c r="O52" s="6">
        <f>N52/gstd</f>
        <v>1.0058657133393996</v>
      </c>
      <c r="Q52" s="12">
        <f>gstd</f>
        <v>9.80665</v>
      </c>
      <c r="S52" s="12">
        <f>$K$14*(1+$L$14*SIN(C52*deg)^2+$M$14*SIN(C52*deg)^4)</f>
        <v>9.831046993395839</v>
      </c>
      <c r="U52" s="10">
        <f>g0_*(1+k_*SIN(C52*deg)^2)/SQRT(1-e2_*SIN(C52*deg)^2)</f>
        <v>9.83218636854687</v>
      </c>
    </row>
    <row r="53" spans="4:15" ht="13.5">
      <c r="D53" s="3"/>
      <c r="F53" s="9"/>
      <c r="K53" s="7"/>
      <c r="L53" s="7"/>
      <c r="N53" s="7"/>
      <c r="O53" s="6"/>
    </row>
    <row r="54" spans="1:15" ht="13.5">
      <c r="A54" s="12">
        <v>92.55</v>
      </c>
      <c r="B54" s="12">
        <f>2*PI()/A54/D24</f>
        <v>0.001131493842459857</v>
      </c>
      <c r="C54" s="12">
        <v>0</v>
      </c>
      <c r="D54" s="3">
        <f>B54^2*H54*COS(C54*deg)</f>
        <v>8.6778544504571</v>
      </c>
      <c r="F54" s="9">
        <f>D54/K54</f>
        <v>1.0002084739420003</v>
      </c>
      <c r="H54" s="12">
        <f>H34+400000</f>
        <v>6778100</v>
      </c>
      <c r="I54" s="12">
        <f>I34+400000</f>
        <v>6778100</v>
      </c>
      <c r="K54" s="6">
        <f>GM_/H54/H54</f>
        <v>8.676045721004666</v>
      </c>
      <c r="L54" s="6"/>
      <c r="M54" s="6">
        <f>K54/gstd</f>
        <v>0.8847104486246238</v>
      </c>
      <c r="N54" s="6">
        <f>K54-D54</f>
        <v>-0.0018087294524331554</v>
      </c>
      <c r="O54" s="6">
        <f>N54/gstd</f>
        <v>-0.0001844390747536779</v>
      </c>
    </row>
    <row r="55" ht="13.5"/>
    <row r="56" spans="12:14" ht="13.5">
      <c r="L56" s="12" t="s">
        <v>55</v>
      </c>
      <c r="N56" s="12" t="s">
        <v>56</v>
      </c>
    </row>
    <row r="57" spans="12:15" ht="13.5">
      <c r="L57" s="12" t="s">
        <v>57</v>
      </c>
      <c r="N57" s="12" t="s">
        <v>58</v>
      </c>
      <c r="O57" s="12" t="s">
        <v>59</v>
      </c>
    </row>
    <row r="58" spans="4:15" ht="13.5">
      <c r="D58" s="12" t="s">
        <v>60</v>
      </c>
      <c r="E58" s="12" t="s">
        <v>61</v>
      </c>
      <c r="G58" s="12" t="s">
        <v>62</v>
      </c>
      <c r="I58" s="12" t="s">
        <v>63</v>
      </c>
      <c r="K58" s="12" t="s">
        <v>64</v>
      </c>
      <c r="L58" s="12" t="s">
        <v>65</v>
      </c>
      <c r="M58" s="12" t="s">
        <v>66</v>
      </c>
      <c r="O58" s="12" t="s">
        <v>67</v>
      </c>
    </row>
    <row r="59" spans="4:15" ht="13.5">
      <c r="D59" s="12" t="s">
        <v>68</v>
      </c>
      <c r="E59" s="12">
        <v>90</v>
      </c>
      <c r="G59" s="12">
        <v>0</v>
      </c>
      <c r="I59" s="12">
        <v>9.832</v>
      </c>
      <c r="K59" s="12">
        <f>I59</f>
        <v>9.832</v>
      </c>
      <c r="M59" s="12">
        <f>IF(E59,ABS(E59),"x")</f>
        <v>90</v>
      </c>
      <c r="N59" s="8">
        <f>SQRT(((a_^2*COS(E59*deg))^2+(b_^2*SIN(E59*deg))^2)/((a_*COS(E59*deg))^2+(b_*SIN(E59*deg))^2))</f>
        <v>6356800</v>
      </c>
      <c r="O59" s="7">
        <f>IF(E59,K59*(N59+G59)^2/N59^2,"x")</f>
        <v>9.832</v>
      </c>
    </row>
    <row r="60" spans="4:15" ht="13.5">
      <c r="D60" s="12" t="s">
        <v>69</v>
      </c>
      <c r="E60" s="12">
        <v>70</v>
      </c>
      <c r="G60" s="12">
        <v>20</v>
      </c>
      <c r="I60" s="12">
        <v>9.825</v>
      </c>
      <c r="K60" s="12">
        <f>I60</f>
        <v>9.825</v>
      </c>
      <c r="M60" s="12">
        <f>ABS(E60)</f>
        <v>70</v>
      </c>
      <c r="N60" s="8">
        <f>SQRT(((a_^2*COS(E60*deg))^2+(b_^2*SIN(E60*deg))^2)/((a_*COS(E60*deg))^2+(b_*SIN(E60*deg))^2))</f>
        <v>6359310.087694901</v>
      </c>
      <c r="O60" s="7">
        <f>K60*(N60+G60)^2/N60^2</f>
        <v>9.825061799253781</v>
      </c>
    </row>
    <row r="61" spans="4:15" ht="13.5">
      <c r="D61" s="12" t="s">
        <v>70</v>
      </c>
      <c r="E61" s="12">
        <v>59</v>
      </c>
      <c r="G61" s="12">
        <v>45</v>
      </c>
      <c r="I61" s="12">
        <v>9.818</v>
      </c>
      <c r="K61" s="12">
        <f>I61</f>
        <v>9.818</v>
      </c>
      <c r="L61" s="12">
        <v>9.818</v>
      </c>
      <c r="M61" s="12">
        <f>ABS(E61)</f>
        <v>59</v>
      </c>
      <c r="N61" s="8">
        <f>SQRT(((a_^2*COS(E61*deg))^2+(b_^2*SIN(E61*deg))^2)/((a_*COS(E61*deg))^2+(b_*SIN(E61*deg))^2))</f>
        <v>6362484.915792917</v>
      </c>
      <c r="O61" s="7">
        <f>K61*(N61+G61)^2/N61^2</f>
        <v>9.8181388801917</v>
      </c>
    </row>
    <row r="62" spans="4:15" ht="13.5">
      <c r="D62" s="12" t="s">
        <v>71</v>
      </c>
      <c r="E62" s="12">
        <v>51</v>
      </c>
      <c r="G62" s="12">
        <v>102</v>
      </c>
      <c r="I62" s="12">
        <v>9.811</v>
      </c>
      <c r="K62" s="12">
        <f>I62</f>
        <v>9.811</v>
      </c>
      <c r="L62" s="12">
        <v>9.815</v>
      </c>
      <c r="M62" s="12">
        <f>ABS(E62)</f>
        <v>51</v>
      </c>
      <c r="N62" s="8">
        <f>SQRT(((a_^2*COS(E62*deg))^2+(b_^2*SIN(E62*deg))^2)/((a_*COS(E62*deg))^2+(b_*SIN(E62*deg))^2))</f>
        <v>6365278.385955605</v>
      </c>
      <c r="O62" s="7">
        <f>K62*(N62+G62)^2/N62^2</f>
        <v>9.811314434014452</v>
      </c>
    </row>
    <row r="63" spans="4:15" ht="13.5">
      <c r="D63" s="12" t="s">
        <v>72</v>
      </c>
      <c r="E63" s="12">
        <v>51</v>
      </c>
      <c r="G63" s="12">
        <v>1376</v>
      </c>
      <c r="I63" s="12">
        <v>9.808</v>
      </c>
      <c r="K63" s="12">
        <f>I63</f>
        <v>9.808</v>
      </c>
      <c r="M63" s="12">
        <f>ABS(E63)</f>
        <v>51</v>
      </c>
      <c r="N63" s="8">
        <f>SQRT(((a_^2*COS(E63*deg))^2+(b_^2*SIN(E63*deg))^2)/((a_*COS(E63*deg))^2+(b_*SIN(E63*deg))^2))</f>
        <v>6365278.385955605</v>
      </c>
      <c r="O63" s="7">
        <f>K63*(N63+G63)^2/N63^2</f>
        <v>9.812240903820648</v>
      </c>
    </row>
    <row r="64" spans="4:15" ht="13.5">
      <c r="D64" s="12" t="s">
        <v>73</v>
      </c>
      <c r="E64" s="12">
        <v>41</v>
      </c>
      <c r="G64" s="12">
        <v>38</v>
      </c>
      <c r="I64" s="12">
        <v>9.803</v>
      </c>
      <c r="K64" s="12">
        <f>I64</f>
        <v>9.803</v>
      </c>
      <c r="L64" s="12">
        <v>9.802</v>
      </c>
      <c r="M64" s="12">
        <f>ABS(E64)</f>
        <v>41</v>
      </c>
      <c r="N64" s="8">
        <f>SQRT(((a_^2*COS(E64*deg))^2+(b_^2*SIN(E64*deg))^2)/((a_*COS(E64*deg))^2+(b_*SIN(E64*deg))^2))</f>
        <v>6368975.836463896</v>
      </c>
      <c r="O64" s="7">
        <f>K64*(N64+G64)^2/N64^2</f>
        <v>9.80311697802625</v>
      </c>
    </row>
    <row r="65" spans="4:15" ht="13.5">
      <c r="D65" s="12" t="s">
        <v>74</v>
      </c>
      <c r="E65" s="12">
        <v>42</v>
      </c>
      <c r="G65" s="12">
        <v>182</v>
      </c>
      <c r="I65" s="12">
        <v>9.803</v>
      </c>
      <c r="K65" s="12">
        <f>I65</f>
        <v>9.803</v>
      </c>
      <c r="L65" s="12">
        <v>9.804</v>
      </c>
      <c r="M65" s="12">
        <f>ABS(E65)</f>
        <v>42</v>
      </c>
      <c r="N65" s="8">
        <f>SQRT(((a_^2*COS(E65*deg))^2+(b_^2*SIN(E65*deg))^2)/((a_*COS(E65*deg))^2+(b_*SIN(E65*deg))^2))</f>
        <v>6368607.253454173</v>
      </c>
      <c r="O65" s="7">
        <f>K65*(N65+G65)^2/N65^2</f>
        <v>9.803560301938044</v>
      </c>
    </row>
    <row r="66" spans="4:15" ht="13.5">
      <c r="D66" s="12" t="s">
        <v>75</v>
      </c>
      <c r="E66" s="12">
        <v>40</v>
      </c>
      <c r="G66" s="12">
        <v>1638</v>
      </c>
      <c r="I66" s="12">
        <v>9.796</v>
      </c>
      <c r="K66" s="12">
        <f>I66</f>
        <v>9.796</v>
      </c>
      <c r="L66" s="12">
        <v>9.798</v>
      </c>
      <c r="M66" s="12">
        <f>ABS(E66)</f>
        <v>40</v>
      </c>
      <c r="N66" s="8">
        <f>SQRT(((a_^2*COS(E66*deg))^2+(b_^2*SIN(E66*deg))^2)/((a_*COS(E66*deg))^2+(b_*SIN(E66*deg))^2))</f>
        <v>6369342.509599654</v>
      </c>
      <c r="O66" s="7">
        <f>K66*(N66+G66)^2/N66^2</f>
        <v>9.801039110779918</v>
      </c>
    </row>
    <row r="67" spans="4:15" ht="13.5">
      <c r="D67" s="12" t="s">
        <v>76</v>
      </c>
      <c r="E67" s="12">
        <v>38</v>
      </c>
      <c r="G67" s="12">
        <v>114</v>
      </c>
      <c r="I67" s="12">
        <v>9.8</v>
      </c>
      <c r="K67" s="12">
        <f>I67</f>
        <v>9.8</v>
      </c>
      <c r="M67" s="12">
        <f>ABS(E67)</f>
        <v>38</v>
      </c>
      <c r="N67" s="8">
        <f>SQRT(((a_^2*COS(E67*deg))^2+(b_^2*SIN(E67*deg))^2)/((a_*COS(E67*deg))^2+(b_*SIN(E67*deg))^2))</f>
        <v>6370068.349742907</v>
      </c>
      <c r="O67" s="7">
        <f>K67*(N67+G67)^2/N67^2</f>
        <v>9.80035076860576</v>
      </c>
    </row>
    <row r="68" spans="4:15" ht="13.5">
      <c r="D68" s="12" t="s">
        <v>77</v>
      </c>
      <c r="E68" s="12">
        <v>9</v>
      </c>
      <c r="G68" s="12">
        <v>6</v>
      </c>
      <c r="I68" s="12">
        <v>9.782</v>
      </c>
      <c r="K68" s="12">
        <f>I68</f>
        <v>9.782</v>
      </c>
      <c r="M68" s="12">
        <f>ABS(E68)</f>
        <v>9</v>
      </c>
      <c r="N68" s="8">
        <f>SQRT(((a_^2*COS(E68*deg))^2+(b_^2*SIN(E68*deg))^2)/((a_*COS(E68*deg))^2+(b_*SIN(E68*deg))^2))</f>
        <v>6377582.986804577</v>
      </c>
      <c r="O68" s="7">
        <f>K68*(N68+G68)^2/N68^2</f>
        <v>9.782018405727602</v>
      </c>
    </row>
    <row r="69" spans="4:15" ht="13.5">
      <c r="D69" s="12" t="s">
        <v>78</v>
      </c>
      <c r="E69" s="12">
        <v>-6</v>
      </c>
      <c r="G69" s="12">
        <v>7</v>
      </c>
      <c r="I69" s="12">
        <v>9.782</v>
      </c>
      <c r="K69" s="12">
        <f>I69</f>
        <v>9.782</v>
      </c>
      <c r="M69" s="12">
        <f>ABS(E69)</f>
        <v>6</v>
      </c>
      <c r="N69" s="8">
        <f>SQRT(((a_^2*COS(E69*deg))^2+(b_^2*SIN(E69*deg))^2)/((a_*COS(E69*deg))^2+(b_*SIN(E69*deg))^2))</f>
        <v>6377869.188788146</v>
      </c>
      <c r="O69" s="7">
        <f>K69*(N69+G69)^2/N69^2</f>
        <v>9.782021472386951</v>
      </c>
    </row>
    <row r="70" spans="4:15" ht="13.5">
      <c r="D70" s="12" t="s">
        <v>79</v>
      </c>
      <c r="E70" s="12">
        <v>-37</v>
      </c>
      <c r="G70" s="12">
        <v>3</v>
      </c>
      <c r="I70" s="12">
        <v>9.8</v>
      </c>
      <c r="K70" s="12">
        <f>I70</f>
        <v>9.8</v>
      </c>
      <c r="L70" s="12">
        <v>9.803</v>
      </c>
      <c r="M70" s="12">
        <f>ABS(E70)</f>
        <v>37</v>
      </c>
      <c r="N70" s="8">
        <f>SQRT(((a_^2*COS(E70*deg))^2+(b_^2*SIN(E70*deg))^2)/((a_*COS(E70*deg))^2+(b_*SIN(E70*deg))^2))</f>
        <v>6370426.6371215135</v>
      </c>
      <c r="O70" s="7">
        <f>K70*(N70+G70)^2/N70^2</f>
        <v>9.800009230153208</v>
      </c>
    </row>
    <row r="71" spans="14:15" ht="13.5">
      <c r="N71" s="8"/>
      <c r="O71" s="7"/>
    </row>
    <row r="72" spans="9:15" ht="13.5">
      <c r="I72" s="12" t="s">
        <v>80</v>
      </c>
      <c r="J72" s="12" t="s">
        <v>81</v>
      </c>
      <c r="N72" s="8"/>
      <c r="O72" s="7"/>
    </row>
    <row r="73" spans="4:15" ht="13.5">
      <c r="D73" s="12" t="s">
        <v>82</v>
      </c>
      <c r="E73" s="12">
        <v>52.366667</v>
      </c>
      <c r="F73" s="12">
        <v>4.9</v>
      </c>
      <c r="G73" s="12">
        <v>2</v>
      </c>
      <c r="I73" s="12">
        <v>9.817</v>
      </c>
      <c r="J73" s="12">
        <v>9.81289</v>
      </c>
      <c r="K73" s="12">
        <f>J73</f>
        <v>9.81289</v>
      </c>
      <c r="M73" s="12">
        <f>IF(E73,ABS(E73),"x")</f>
        <v>52.366667</v>
      </c>
      <c r="N73" s="8">
        <f>SQRT(((a_^2*COS(E73*deg))^2+(b_^2*SIN(E73*deg))^2)/((a_*COS(E73*deg))^2+(b_*SIN(E73*deg))^2))</f>
        <v>6364783.182851664</v>
      </c>
      <c r="O73" s="7">
        <f>IF(E73,K73*(N73+G73)^2/N73^2,"x")</f>
        <v>9.812896166991871</v>
      </c>
    </row>
    <row r="74" spans="4:15" ht="13.5">
      <c r="D74" s="12" t="s">
        <v>83</v>
      </c>
      <c r="E74" s="12">
        <v>61.216667</v>
      </c>
      <c r="F74" s="12">
        <v>-149.9</v>
      </c>
      <c r="G74" s="12">
        <v>31</v>
      </c>
      <c r="I74" s="12">
        <v>9.826</v>
      </c>
      <c r="J74" s="12">
        <v>9.81919</v>
      </c>
      <c r="K74" s="12">
        <f>J74</f>
        <v>9.81919</v>
      </c>
      <c r="M74" s="12">
        <f>ABS(E74)</f>
        <v>61.216667</v>
      </c>
      <c r="N74" s="8">
        <f>SQRT(((a_^2*COS(E74*deg))^2+(b_^2*SIN(E74*deg))^2)/((a_*COS(E74*deg))^2+(b_*SIN(E74*deg))^2))</f>
        <v>6361770.011153063</v>
      </c>
      <c r="O74" s="7">
        <f>IF(E74,K74*(N74+G74)^2/N74^2,"x")</f>
        <v>9.819285695264403</v>
      </c>
    </row>
    <row r="75" spans="4:15" ht="13.5">
      <c r="D75" s="12" t="s">
        <v>84</v>
      </c>
      <c r="E75" s="12">
        <v>37.966667</v>
      </c>
      <c r="F75" s="12">
        <v>23.716667</v>
      </c>
      <c r="G75" s="12">
        <v>200</v>
      </c>
      <c r="H75" s="12">
        <v>130</v>
      </c>
      <c r="I75" s="12">
        <v>9.8</v>
      </c>
      <c r="J75" s="12">
        <v>9.80017</v>
      </c>
      <c r="K75" s="12">
        <f>J75</f>
        <v>9.80017</v>
      </c>
      <c r="M75" s="12">
        <f>ABS(E75)</f>
        <v>37.966667</v>
      </c>
      <c r="N75" s="8">
        <f>SQRT(((a_^2*COS(E75*deg))^2+(b_^2*SIN(E75*deg))^2)/((a_*COS(E75*deg))^2+(b_*SIN(E75*deg))^2))</f>
        <v>6370080.347064708</v>
      </c>
      <c r="O75" s="7">
        <f>IF(E75,K75*(N75+G75)^2/N75^2,"x")</f>
        <v>9.800785397188914</v>
      </c>
    </row>
    <row r="76" spans="4:15" ht="13.5">
      <c r="D76" s="12" t="s">
        <v>85</v>
      </c>
      <c r="E76" s="12">
        <v>-36.840556</v>
      </c>
      <c r="F76" s="12">
        <v>174.74</v>
      </c>
      <c r="G76" s="12">
        <v>196</v>
      </c>
      <c r="I76" s="12">
        <v>9.799</v>
      </c>
      <c r="J76" s="12">
        <v>9.79901</v>
      </c>
      <c r="K76" s="12">
        <f>J76</f>
        <v>9.79901</v>
      </c>
      <c r="M76" s="12">
        <f>ABS(E76)</f>
        <v>36.840556</v>
      </c>
      <c r="N76" s="8">
        <f>SQRT(((a_^2*COS(E76*deg))^2+(b_^2*SIN(E76*deg))^2)/((a_*COS(E76*deg))^2+(b_*SIN(E76*deg))^2))</f>
        <v>6370483.436007842</v>
      </c>
      <c r="O76" s="7">
        <f>IF(E76,K76*(N76+G76)^2/N76^2,"x")</f>
        <v>9.79961297951477</v>
      </c>
    </row>
    <row r="77" spans="4:15" ht="13.5">
      <c r="D77" s="12" t="s">
        <v>86</v>
      </c>
      <c r="E77" s="12">
        <v>13.75</v>
      </c>
      <c r="F77" s="12">
        <v>100.466667</v>
      </c>
      <c r="G77" s="12">
        <v>1.5</v>
      </c>
      <c r="I77" s="12">
        <v>9.78</v>
      </c>
      <c r="J77" s="12">
        <v>9.78291</v>
      </c>
      <c r="K77" s="12">
        <f>J77</f>
        <v>9.78291</v>
      </c>
      <c r="M77" s="12">
        <f>ABS(E77)</f>
        <v>13.75</v>
      </c>
      <c r="N77" s="8">
        <f>SQRT(((a_^2*COS(E77*deg))^2+(b_^2*SIN(E77*deg))^2)/((a_*COS(E77*deg))^2+(b_*SIN(E77*deg))^2))</f>
        <v>6376906.123621049</v>
      </c>
      <c r="O77" s="7">
        <f>IF(E77,K77*(N77+G77)^2/N77^2,"x")</f>
        <v>9.782914602346793</v>
      </c>
    </row>
    <row r="78" spans="4:15" ht="13.5">
      <c r="D78" s="12" t="s">
        <v>87</v>
      </c>
      <c r="E78" s="12">
        <v>52.483056</v>
      </c>
      <c r="F78" s="12">
        <v>-1.893611</v>
      </c>
      <c r="G78" s="12">
        <v>140</v>
      </c>
      <c r="I78" s="12">
        <v>9.817</v>
      </c>
      <c r="J78" s="12">
        <v>9.81278</v>
      </c>
      <c r="K78" s="12">
        <f>J78</f>
        <v>9.81278</v>
      </c>
      <c r="M78" s="12">
        <f>ABS(E78)</f>
        <v>52.483056</v>
      </c>
      <c r="N78" s="8">
        <f>SQRT(((a_^2*COS(E78*deg))^2+(b_^2*SIN(E78*deg))^2)/((a_*COS(E78*deg))^2+(b_*SIN(E78*deg))^2))</f>
        <v>6364741.270747392</v>
      </c>
      <c r="O78" s="7">
        <f>IF(E78,K78*(N78+G78)^2/N78^2,"x")</f>
        <v>9.81321169211461</v>
      </c>
    </row>
    <row r="79" spans="4:15" ht="13.5">
      <c r="D79" s="12" t="s">
        <v>71</v>
      </c>
      <c r="E79" s="12">
        <v>50.85</v>
      </c>
      <c r="F79" s="12">
        <v>4.35</v>
      </c>
      <c r="G79" s="12">
        <v>13</v>
      </c>
      <c r="I79" s="12">
        <v>9.815</v>
      </c>
      <c r="J79" s="12">
        <v>9.81164</v>
      </c>
      <c r="K79" s="12">
        <f>J79</f>
        <v>9.81164</v>
      </c>
      <c r="M79" s="12">
        <f>ABS(E79)</f>
        <v>50.85</v>
      </c>
      <c r="N79" s="8">
        <f>SQRT(((a_^2*COS(E79*deg))^2+(b_^2*SIN(E79*deg))^2)/((a_*COS(E79*deg))^2+(b_*SIN(E79*deg))^2))</f>
        <v>6365333.0536198765</v>
      </c>
      <c r="O79" s="7">
        <f>IF(E79,K79*(N79+G79)^2/N79^2,"x")</f>
        <v>9.811680076913234</v>
      </c>
    </row>
    <row r="80" spans="4:15" ht="13.5">
      <c r="D80" s="12" t="s">
        <v>88</v>
      </c>
      <c r="E80" s="12">
        <v>-34.603333</v>
      </c>
      <c r="F80" s="12">
        <v>-58.381667</v>
      </c>
      <c r="G80" s="12">
        <v>25</v>
      </c>
      <c r="I80" s="12">
        <v>9.797</v>
      </c>
      <c r="J80" s="12">
        <v>9.79694</v>
      </c>
      <c r="K80" s="12">
        <f>J80</f>
        <v>9.79694</v>
      </c>
      <c r="M80" s="12">
        <f>ABS(E80)</f>
        <v>34.603333</v>
      </c>
      <c r="N80" s="8">
        <f>SQRT(((a_^2*COS(E80*deg))^2+(b_^2*SIN(E80*deg))^2)/((a_*COS(E80*deg))^2+(b_*SIN(E80*deg))^2))</f>
        <v>6371269.590653808</v>
      </c>
      <c r="O80" s="7">
        <f>IF(E80,K80*(N80+G80)^2/N80^2,"x")</f>
        <v>9.797016883885398</v>
      </c>
    </row>
    <row r="81" spans="4:15" ht="13.5">
      <c r="D81" s="12" t="s">
        <v>89</v>
      </c>
      <c r="E81" s="12">
        <v>-33.925278</v>
      </c>
      <c r="F81" s="12">
        <v>18.423889</v>
      </c>
      <c r="G81" s="12">
        <v>1590.4</v>
      </c>
      <c r="I81" s="12">
        <v>9.796</v>
      </c>
      <c r="J81" s="12">
        <v>9.79165</v>
      </c>
      <c r="K81" s="12">
        <f>J81</f>
        <v>9.79165</v>
      </c>
      <c r="M81" s="12">
        <f>ABS(E81)</f>
        <v>33.925278</v>
      </c>
      <c r="N81" s="8">
        <f>SQRT(((a_^2*COS(E81*deg))^2+(b_^2*SIN(E81*deg))^2)/((a_*COS(E81*deg))^2+(b_*SIN(E81*deg))^2))</f>
        <v>6371503.4414996365</v>
      </c>
      <c r="O81" s="7">
        <f>IF(E81,K81*(N81+G81)^2/N81^2,"x")</f>
        <v>9.796538825332167</v>
      </c>
    </row>
    <row r="82" spans="4:15" ht="13.5">
      <c r="D82" s="12" t="s">
        <v>74</v>
      </c>
      <c r="E82" s="12">
        <v>41.836944</v>
      </c>
      <c r="F82" s="12">
        <v>-87.684722</v>
      </c>
      <c r="G82" s="12">
        <v>181</v>
      </c>
      <c r="I82" s="12">
        <v>9.804</v>
      </c>
      <c r="J82" s="12">
        <v>9.80267</v>
      </c>
      <c r="K82" s="12">
        <f>J82</f>
        <v>9.80267</v>
      </c>
      <c r="M82" s="12">
        <f>ABS(E82)</f>
        <v>41.836944</v>
      </c>
      <c r="N82" s="8">
        <f>SQRT(((a_^2*COS(E82*deg))^2+(b_^2*SIN(E82*deg))^2)/((a_*COS(E82*deg))^2+(b_*SIN(E82*deg))^2))</f>
        <v>6368667.464770739</v>
      </c>
      <c r="O82" s="7">
        <f>IF(E82,K82*(N82+G82)^2/N82^2,"x")</f>
        <v>9.803227199286265</v>
      </c>
    </row>
    <row r="83" spans="4:15" ht="13.5">
      <c r="D83" s="12" t="s">
        <v>90</v>
      </c>
      <c r="E83" s="12">
        <v>55.676111</v>
      </c>
      <c r="F83" s="12">
        <v>12.568333</v>
      </c>
      <c r="G83" s="12">
        <v>46</v>
      </c>
      <c r="H83" s="12">
        <v>45</v>
      </c>
      <c r="I83" s="12">
        <v>9.821</v>
      </c>
      <c r="J83" s="12">
        <v>9.81545</v>
      </c>
      <c r="K83" s="12">
        <f>J83</f>
        <v>9.81545</v>
      </c>
      <c r="M83" s="12">
        <f>ABS(E83)</f>
        <v>55.676111</v>
      </c>
      <c r="N83" s="8">
        <f>SQRT(((a_^2*COS(E83*deg))^2+(b_^2*SIN(E83*deg))^2)/((a_*COS(E83*deg))^2+(b_*SIN(E83*deg))^2))</f>
        <v>6363611.021782138</v>
      </c>
      <c r="O83" s="7">
        <f>IF(E83,K83*(N83+G83)^2/N83^2,"x")</f>
        <v>9.815591904440845</v>
      </c>
    </row>
    <row r="84" spans="4:15" ht="13.5">
      <c r="D84" s="12" t="s">
        <v>75</v>
      </c>
      <c r="E84" s="12">
        <v>39.76185</v>
      </c>
      <c r="F84" s="12">
        <v>-104.881105</v>
      </c>
      <c r="G84" s="12">
        <v>1650</v>
      </c>
      <c r="H84" s="12">
        <v>80</v>
      </c>
      <c r="I84" s="12">
        <v>9.798</v>
      </c>
      <c r="J84" s="12">
        <v>9.79605</v>
      </c>
      <c r="K84" s="12">
        <f>J84</f>
        <v>9.79605</v>
      </c>
      <c r="M84" s="12">
        <f>ABS(E84)</f>
        <v>39.76185</v>
      </c>
      <c r="N84" s="8">
        <f>SQRT(((a_^2*COS(E84*deg))^2+(b_^2*SIN(E84*deg))^2)/((a_*COS(E84*deg))^2+(b_*SIN(E84*deg))^2))</f>
        <v>6369429.502225589</v>
      </c>
      <c r="O84" s="7">
        <f>IF(E84,K84*(N84+G84)^2/N84^2,"x")</f>
        <v>9.801125988695226</v>
      </c>
    </row>
    <row r="85" spans="4:15" ht="13.5">
      <c r="D85" s="12" t="s">
        <v>91</v>
      </c>
      <c r="E85" s="12">
        <v>50.116667</v>
      </c>
      <c r="F85" s="12">
        <v>8.683333</v>
      </c>
      <c r="G85" s="12">
        <v>113</v>
      </c>
      <c r="I85" s="12">
        <v>9.814</v>
      </c>
      <c r="J85" s="12">
        <v>9.8107</v>
      </c>
      <c r="K85" s="12">
        <f>J85</f>
        <v>9.8107</v>
      </c>
      <c r="M85" s="12">
        <f>ABS(E85)</f>
        <v>50.116667</v>
      </c>
      <c r="N85" s="8">
        <f>SQRT(((a_^2*COS(E85*deg))^2+(b_^2*SIN(E85*deg))^2)/((a_*COS(E85*deg))^2+(b_*SIN(E85*deg))^2))</f>
        <v>6365601.109437498</v>
      </c>
      <c r="O85" s="7">
        <f>IF(E85,K85*(N85+G85)^2/N85^2,"x")</f>
        <v>9.811048315554421</v>
      </c>
    </row>
    <row r="86" spans="4:15" ht="13.5">
      <c r="D86" s="12" t="s">
        <v>92</v>
      </c>
      <c r="E86" s="12">
        <v>23.133333</v>
      </c>
      <c r="F86" s="12">
        <v>-82.383333</v>
      </c>
      <c r="G86" s="12">
        <v>59</v>
      </c>
      <c r="I86" s="12">
        <v>9.786</v>
      </c>
      <c r="J86" s="12">
        <v>9.788</v>
      </c>
      <c r="K86" s="12">
        <f>J86</f>
        <v>9.788</v>
      </c>
      <c r="M86" s="12">
        <f>ABS(E86)</f>
        <v>23.133333</v>
      </c>
      <c r="N86" s="8">
        <f>SQRT(((a_^2*COS(E86*deg))^2+(b_^2*SIN(E86*deg))^2)/((a_*COS(E86*deg))^2+(b_*SIN(E86*deg))^2))</f>
        <v>6374835.5564069785</v>
      </c>
      <c r="O86" s="7">
        <f>IF(E86,K86*(N86+G86)^2/N86^2,"x")</f>
        <v>9.788181179472717</v>
      </c>
    </row>
    <row r="87" spans="4:15" ht="13.5">
      <c r="D87" s="12" t="s">
        <v>93</v>
      </c>
      <c r="E87" s="12">
        <v>60.170833</v>
      </c>
      <c r="F87" s="12">
        <v>24.9375</v>
      </c>
      <c r="G87" s="12">
        <v>51</v>
      </c>
      <c r="I87" s="12">
        <v>9.825</v>
      </c>
      <c r="J87" s="12">
        <v>9.81895</v>
      </c>
      <c r="K87" s="12">
        <f>J87</f>
        <v>9.81895</v>
      </c>
      <c r="M87" s="12">
        <f>ABS(E87)</f>
        <v>60.170833</v>
      </c>
      <c r="N87" s="8">
        <f>SQRT(((a_^2*COS(E87*deg))^2+(b_^2*SIN(E87*deg))^2)/((a_*COS(E87*deg))^2+(b_*SIN(E87*deg))^2))</f>
        <v>6362103.33661387</v>
      </c>
      <c r="O87" s="7">
        <f>IF(E87,K87*(N87+G87)^2/N87^2,"x")</f>
        <v>9.819107422295938</v>
      </c>
    </row>
    <row r="88" spans="4:15" ht="13.5">
      <c r="D88" s="12" t="s">
        <v>94</v>
      </c>
      <c r="E88" s="12">
        <v>22.3</v>
      </c>
      <c r="F88" s="12">
        <v>114.2</v>
      </c>
      <c r="G88" s="12">
        <v>480</v>
      </c>
      <c r="H88" s="12">
        <v>480</v>
      </c>
      <c r="I88" s="12">
        <v>9.785</v>
      </c>
      <c r="J88" s="12">
        <v>9.78622</v>
      </c>
      <c r="K88" s="12">
        <f>J88</f>
        <v>9.78622</v>
      </c>
      <c r="M88" s="12">
        <f>ABS(E88)</f>
        <v>22.3</v>
      </c>
      <c r="N88" s="8">
        <f>SQRT(((a_^2*COS(E88*deg))^2+(b_^2*SIN(E88*deg))^2)/((a_*COS(E88*deg))^2+(b_*SIN(E88*deg))^2))</f>
        <v>6375054.964695004</v>
      </c>
      <c r="O88" s="7">
        <f>IF(E88,K88*(N88+G88)^2/N88^2,"x")</f>
        <v>9.78769373237321</v>
      </c>
    </row>
    <row r="89" spans="4:15" ht="13.5">
      <c r="D89" s="12" t="s">
        <v>95</v>
      </c>
      <c r="E89" s="12">
        <v>41.013611</v>
      </c>
      <c r="F89" s="12">
        <v>28.955</v>
      </c>
      <c r="G89" s="12">
        <v>140</v>
      </c>
      <c r="H89" s="12">
        <v>140</v>
      </c>
      <c r="I89" s="12">
        <v>9.808</v>
      </c>
      <c r="J89" s="12">
        <v>9.80271</v>
      </c>
      <c r="K89" s="12">
        <f>J89</f>
        <v>9.80271</v>
      </c>
      <c r="M89" s="12">
        <f>ABS(E89)</f>
        <v>41.013611</v>
      </c>
      <c r="N89" s="8">
        <f>SQRT(((a_^2*COS(E89*deg))^2+(b_^2*SIN(E89*deg))^2)/((a_*COS(E89*deg))^2+(b_*SIN(E89*deg))^2))</f>
        <v>6368970.831488803</v>
      </c>
      <c r="O89" s="7">
        <f>IF(E89,K89*(N89+G89)^2/N89^2,"x")</f>
        <v>9.803140962715906</v>
      </c>
    </row>
    <row r="90" spans="4:15" ht="13.5">
      <c r="D90" s="12" t="s">
        <v>96</v>
      </c>
      <c r="E90" s="12">
        <v>-6.2</v>
      </c>
      <c r="F90" s="12">
        <v>106.816667</v>
      </c>
      <c r="G90" s="12">
        <v>8</v>
      </c>
      <c r="I90" s="12">
        <v>9.777</v>
      </c>
      <c r="J90" s="12">
        <v>9.78148</v>
      </c>
      <c r="K90" s="12">
        <f>J90</f>
        <v>9.78148</v>
      </c>
      <c r="M90" s="12">
        <f>ABS(E90)</f>
        <v>6.2</v>
      </c>
      <c r="N90" s="8">
        <f>SQRT(((a_^2*COS(E90*deg))^2+(b_^2*SIN(E90*deg))^2)/((a_*COS(E90*deg))^2+(b_*SIN(E90*deg))^2))</f>
        <v>6377853.6045032935</v>
      </c>
      <c r="O90" s="7">
        <f>IF(E90,K90*(N90+G90)^2/N90^2,"x")</f>
        <v>9.781504538628175</v>
      </c>
    </row>
    <row r="91" spans="4:15" ht="13.5">
      <c r="D91" s="12" t="s">
        <v>97</v>
      </c>
      <c r="E91" s="12">
        <v>7.296389</v>
      </c>
      <c r="F91" s="12">
        <v>80.635</v>
      </c>
      <c r="G91" s="12">
        <v>500</v>
      </c>
      <c r="I91" s="12">
        <v>9.775</v>
      </c>
      <c r="J91" s="12">
        <v>9.77975</v>
      </c>
      <c r="K91" s="12">
        <f>J91</f>
        <v>9.77975</v>
      </c>
      <c r="M91" s="12">
        <f>ABS(E91)</f>
        <v>7.296389</v>
      </c>
      <c r="N91" s="8">
        <f>SQRT(((a_^2*COS(E91*deg))^2+(b_^2*SIN(E91*deg))^2)/((a_*COS(E91*deg))^2+(b_*SIN(E91*deg))^2))</f>
        <v>6377759.2558921445</v>
      </c>
      <c r="O91" s="7">
        <f>IF(E91,K91*(N91+G91)^2/N91^2,"x")</f>
        <v>9.781283474839874</v>
      </c>
    </row>
    <row r="92" spans="4:15" ht="13.5">
      <c r="D92" s="12" t="s">
        <v>98</v>
      </c>
      <c r="E92" s="12">
        <v>22.566667</v>
      </c>
      <c r="F92" s="12">
        <v>88.366667</v>
      </c>
      <c r="G92" s="12">
        <v>9</v>
      </c>
      <c r="I92" s="12">
        <v>9.785</v>
      </c>
      <c r="J92" s="12">
        <v>9.78772</v>
      </c>
      <c r="K92" s="12">
        <f>J92</f>
        <v>9.78772</v>
      </c>
      <c r="M92" s="12">
        <f>ABS(E92)</f>
        <v>22.566667</v>
      </c>
      <c r="N92" s="8">
        <f>SQRT(((a_^2*COS(E92*deg))^2+(b_^2*SIN(E92*deg))^2)/((a_*COS(E92*deg))^2+(b_*SIN(E92*deg))^2))</f>
        <v>6374985.443224113</v>
      </c>
      <c r="O92" s="7">
        <f>IF(E92,K92*(N92+G92)^2/N92^2,"x")</f>
        <v>9.787747635997906</v>
      </c>
    </row>
    <row r="93" spans="4:15" ht="13.5">
      <c r="D93" s="12" t="s">
        <v>99</v>
      </c>
      <c r="E93" s="12">
        <v>3.133333</v>
      </c>
      <c r="F93" s="12">
        <v>101.683333</v>
      </c>
      <c r="G93" s="12">
        <v>21.95</v>
      </c>
      <c r="I93" s="12">
        <v>9.776</v>
      </c>
      <c r="J93" s="12">
        <v>9.78039</v>
      </c>
      <c r="K93" s="12">
        <f>J93</f>
        <v>9.78039</v>
      </c>
      <c r="M93" s="12">
        <f>ABS(E93)</f>
        <v>3.133333</v>
      </c>
      <c r="N93" s="8">
        <f>SQRT(((a_^2*COS(E93*deg))^2+(b_^2*SIN(E93*deg))^2)/((a_*COS(E93*deg))^2+(b_*SIN(E93*deg))^2))</f>
        <v>6378036.890618387</v>
      </c>
      <c r="O93" s="7">
        <f>IF(E93,K93*(N93+G93)^2/N93^2,"x")</f>
        <v>9.7804573184974</v>
      </c>
    </row>
    <row r="94" spans="4:15" ht="13.5">
      <c r="D94" s="12" t="s">
        <v>100</v>
      </c>
      <c r="E94" s="12">
        <v>29.369722</v>
      </c>
      <c r="F94" s="12">
        <v>47.978333</v>
      </c>
      <c r="G94" s="12">
        <v>2</v>
      </c>
      <c r="I94" s="12">
        <v>9.792</v>
      </c>
      <c r="J94" s="12">
        <v>9.79254</v>
      </c>
      <c r="K94" s="12">
        <f>J94</f>
        <v>9.79254</v>
      </c>
      <c r="M94" s="12">
        <f>ABS(E94)</f>
        <v>29.369722</v>
      </c>
      <c r="N94" s="8">
        <f>SQRT(((a_^2*COS(E94*deg))^2+(b_^2*SIN(E94*deg))^2)/((a_*COS(E94*deg))^2+(b_*SIN(E94*deg))^2))</f>
        <v>6373009.079230384</v>
      </c>
      <c r="O94" s="7">
        <f>IF(E94,K94*(N94+G94)^2/N94^2,"x")</f>
        <v>9.792546146259273</v>
      </c>
    </row>
    <row r="95" spans="4:15" ht="13.5">
      <c r="D95" s="12" t="s">
        <v>101</v>
      </c>
      <c r="E95" s="12">
        <v>38.713889</v>
      </c>
      <c r="F95" s="12">
        <v>-9.139444</v>
      </c>
      <c r="G95" s="12">
        <v>2</v>
      </c>
      <c r="I95" s="12">
        <v>9.801</v>
      </c>
      <c r="J95" s="12">
        <v>9.80107</v>
      </c>
      <c r="K95" s="12">
        <f>J95</f>
        <v>9.80107</v>
      </c>
      <c r="M95" s="12">
        <f>ABS(E95)</f>
        <v>38.713889</v>
      </c>
      <c r="N95" s="8">
        <f>SQRT(((a_^2*COS(E95*deg))^2+(b_^2*SIN(E95*deg))^2)/((a_*COS(E95*deg))^2+(b_*SIN(E95*deg))^2))</f>
        <v>6369810.568137919</v>
      </c>
      <c r="O95" s="7">
        <f>IF(E95,K95*(N95+G95)^2/N95^2,"x")</f>
        <v>9.801076154702049</v>
      </c>
    </row>
    <row r="96" spans="4:15" ht="13.5">
      <c r="D96" s="12" t="s">
        <v>102</v>
      </c>
      <c r="E96" s="12">
        <v>51.507222</v>
      </c>
      <c r="F96" s="12">
        <v>-0.1275</v>
      </c>
      <c r="G96" s="12">
        <v>35</v>
      </c>
      <c r="I96" s="12">
        <v>9.816</v>
      </c>
      <c r="J96" s="12">
        <v>9.81196</v>
      </c>
      <c r="K96" s="12">
        <f>J96</f>
        <v>9.81196</v>
      </c>
      <c r="M96" s="12">
        <f>ABS(E96)</f>
        <v>51.507222</v>
      </c>
      <c r="N96" s="8">
        <f>SQRT(((a_^2*COS(E96*deg))^2+(b_^2*SIN(E96*deg))^2)/((a_*COS(E96*deg))^2+(b_*SIN(E96*deg))^2))</f>
        <v>6365093.970310412</v>
      </c>
      <c r="O96" s="7">
        <f>IF(E96,K96*(N96+G96)^2/N96^2,"x")</f>
        <v>9.812067907140344</v>
      </c>
    </row>
    <row r="97" spans="4:15" ht="13.5">
      <c r="D97" s="12" t="s">
        <v>103</v>
      </c>
      <c r="E97" s="12">
        <v>34.05</v>
      </c>
      <c r="F97" s="12">
        <v>-118.25</v>
      </c>
      <c r="G97" s="12">
        <v>93</v>
      </c>
      <c r="I97" s="12">
        <v>9.796</v>
      </c>
      <c r="J97" s="12">
        <v>9.79557</v>
      </c>
      <c r="K97" s="12">
        <f>J97</f>
        <v>9.79557</v>
      </c>
      <c r="M97" s="12">
        <f>ABS(E97)</f>
        <v>34.05</v>
      </c>
      <c r="N97" s="8">
        <f>SQRT(((a_^2*COS(E97*deg))^2+(b_^2*SIN(E97*deg))^2)/((a_*COS(E97*deg))^2+(b_*SIN(E97*deg))^2))</f>
        <v>6371460.594431759</v>
      </c>
      <c r="O97" s="7">
        <f>IF(E97,K97*(N97+G97)^2/N97^2,"x")</f>
        <v>9.79585596101162</v>
      </c>
    </row>
    <row r="98" spans="4:15" ht="13.5">
      <c r="D98" s="12" t="s">
        <v>104</v>
      </c>
      <c r="E98" s="12">
        <v>40.383333</v>
      </c>
      <c r="F98" s="12">
        <v>-3.716667</v>
      </c>
      <c r="G98" s="12">
        <v>667</v>
      </c>
      <c r="I98" s="12">
        <v>9.8</v>
      </c>
      <c r="J98" s="12">
        <v>9.79977</v>
      </c>
      <c r="K98" s="12">
        <f>J98</f>
        <v>9.79977</v>
      </c>
      <c r="M98" s="12">
        <f>ABS(E98)</f>
        <v>40.383333</v>
      </c>
      <c r="N98" s="8">
        <f>SQRT(((a_^2*COS(E98*deg))^2+(b_^2*SIN(E98*deg))^2)/((a_*COS(E98*deg))^2+(b_*SIN(E98*deg))^2))</f>
        <v>6369202.205828314</v>
      </c>
      <c r="O98" s="7">
        <f>IF(E98,K98*(N98+G98)^2/N98^2,"x")</f>
        <v>9.801822624060566</v>
      </c>
    </row>
    <row r="99" spans="4:15" ht="13.5">
      <c r="D99" s="12" t="s">
        <v>105</v>
      </c>
      <c r="E99" s="12">
        <v>53.466667</v>
      </c>
      <c r="F99" s="12">
        <v>-2.233333</v>
      </c>
      <c r="G99" s="12">
        <v>38</v>
      </c>
      <c r="I99" s="12">
        <v>9.818</v>
      </c>
      <c r="J99" s="12">
        <v>9.81387</v>
      </c>
      <c r="K99" s="12">
        <f>J99</f>
        <v>9.81387</v>
      </c>
      <c r="M99" s="12">
        <f>ABS(E99)</f>
        <v>53.466667</v>
      </c>
      <c r="N99" s="8">
        <f>SQRT(((a_^2*COS(E99*deg))^2+(b_^2*SIN(E99*deg))^2)/((a_*COS(E99*deg))^2+(b_*SIN(E99*deg))^2))</f>
        <v>6364388.899571666</v>
      </c>
      <c r="O99" s="7">
        <f>IF(E99,K99*(N99+G99)^2/N99^2,"x")</f>
        <v>9.813987192138697</v>
      </c>
    </row>
    <row r="100" spans="4:15" ht="13.5">
      <c r="D100" s="12" t="s">
        <v>106</v>
      </c>
      <c r="E100" s="12">
        <v>14.58</v>
      </c>
      <c r="F100" s="12">
        <v>121</v>
      </c>
      <c r="G100" s="12">
        <v>16</v>
      </c>
      <c r="I100" s="12">
        <v>9.78</v>
      </c>
      <c r="J100" s="12">
        <v>9.78371</v>
      </c>
      <c r="K100" s="12">
        <f>J100</f>
        <v>9.78371</v>
      </c>
      <c r="M100" s="12">
        <f>ABS(E100)</f>
        <v>14.58</v>
      </c>
      <c r="N100" s="8">
        <f>SQRT(((a_^2*COS(E100*deg))^2+(b_^2*SIN(E100*deg))^2)/((a_*COS(E100*deg))^2+(b_*SIN(E100*deg))^2))</f>
        <v>6376760.777590215</v>
      </c>
      <c r="O100" s="7">
        <f>IF(E100,K100*(N100+G100)^2/N100^2,"x")</f>
        <v>9.783759096888481</v>
      </c>
    </row>
    <row r="101" spans="4:15" ht="13.5">
      <c r="D101" s="12" t="s">
        <v>107</v>
      </c>
      <c r="E101" s="12">
        <v>-37.813611</v>
      </c>
      <c r="F101" s="12">
        <v>144.963056</v>
      </c>
      <c r="G101" s="12">
        <v>31</v>
      </c>
      <c r="I101" s="12">
        <v>9.8</v>
      </c>
      <c r="J101" s="12">
        <v>9.7997</v>
      </c>
      <c r="K101" s="12">
        <f>J101</f>
        <v>9.7997</v>
      </c>
      <c r="M101" s="12">
        <f>ABS(E101)</f>
        <v>37.813611</v>
      </c>
      <c r="N101" s="8">
        <f>SQRT(((a_^2*COS(E101*deg))^2+(b_^2*SIN(E101*deg))^2)/((a_*COS(E101*deg))^2+(b_*SIN(E101*deg))^2))</f>
        <v>6370135.388881911</v>
      </c>
      <c r="O101" s="7">
        <f>IF(E101,K101*(N101+G101)^2/N101^2,"x")</f>
        <v>9.799795379900315</v>
      </c>
    </row>
    <row r="102" spans="4:15" ht="13.5">
      <c r="D102" s="12" t="s">
        <v>108</v>
      </c>
      <c r="E102" s="12">
        <v>19.433333</v>
      </c>
      <c r="F102" s="12">
        <v>-99.133333</v>
      </c>
      <c r="G102" s="12">
        <v>2250</v>
      </c>
      <c r="I102" s="12">
        <v>9.776</v>
      </c>
      <c r="J102" s="12">
        <v>9.77944</v>
      </c>
      <c r="K102" s="12">
        <f>J102</f>
        <v>9.77944</v>
      </c>
      <c r="M102" s="12">
        <f>ABS(E102)</f>
        <v>19.433333</v>
      </c>
      <c r="N102" s="8">
        <f>SQRT(((a_^2*COS(E102*deg))^2+(b_^2*SIN(E102*deg))^2)/((a_*COS(E102*deg))^2+(b_*SIN(E102*deg))^2))</f>
        <v>6375759.65513252</v>
      </c>
      <c r="O102" s="7">
        <f>IF(E102,K102*(N102+G102)^2/N102^2,"x")</f>
        <v>9.786343529537088</v>
      </c>
    </row>
    <row r="103" spans="4:15" ht="13.5">
      <c r="D103" s="12" t="s">
        <v>109</v>
      </c>
      <c r="E103" s="12">
        <v>45.5</v>
      </c>
      <c r="F103" s="12">
        <v>-73.566667</v>
      </c>
      <c r="G103" s="12">
        <v>120</v>
      </c>
      <c r="H103" s="12">
        <v>115</v>
      </c>
      <c r="I103" s="12">
        <v>9.809</v>
      </c>
      <c r="J103" s="12">
        <v>9.80601</v>
      </c>
      <c r="K103" s="12">
        <f>J103</f>
        <v>9.80601</v>
      </c>
      <c r="M103" s="12">
        <f>ABS(E103)</f>
        <v>45.5</v>
      </c>
      <c r="N103" s="8">
        <f>SQRT(((a_^2*COS(E103*deg))^2+(b_^2*SIN(E103*deg))^2)/((a_*COS(E103*deg))^2+(b_*SIN(E103*deg))^2))</f>
        <v>6367308.653583009</v>
      </c>
      <c r="O103" s="7">
        <f>IF(E103,K103*(N103+G103)^2/N103^2,"x")</f>
        <v>9.806379616851459</v>
      </c>
    </row>
    <row r="104" spans="4:15" ht="13.5">
      <c r="D104" s="12" t="s">
        <v>110</v>
      </c>
      <c r="E104" s="12">
        <v>40.7127</v>
      </c>
      <c r="F104" s="12">
        <v>-74.0059</v>
      </c>
      <c r="G104" s="12">
        <v>10</v>
      </c>
      <c r="I104" s="12">
        <v>9.802</v>
      </c>
      <c r="J104" s="12">
        <v>9.80243</v>
      </c>
      <c r="K104" s="12">
        <f>J104</f>
        <v>9.80243</v>
      </c>
      <c r="M104" s="12">
        <f>ABS(E104)</f>
        <v>40.7127</v>
      </c>
      <c r="N104" s="8">
        <f>SQRT(((a_^2*COS(E104*deg))^2+(b_^2*SIN(E104*deg))^2)/((a_*COS(E104*deg))^2+(b_*SIN(E104*deg))^2))</f>
        <v>6369081.396789454</v>
      </c>
      <c r="O104" s="7">
        <f>IF(E104,K104*(N104+G104)^2/N104^2,"x")</f>
        <v>9.802460781323349</v>
      </c>
    </row>
    <row r="105" spans="4:15" ht="13.5">
      <c r="D105" s="12" t="s">
        <v>111</v>
      </c>
      <c r="E105" s="12">
        <v>35.166667</v>
      </c>
      <c r="F105" s="12">
        <v>33.366667</v>
      </c>
      <c r="G105" s="12">
        <v>220</v>
      </c>
      <c r="I105" s="12">
        <v>9.797</v>
      </c>
      <c r="J105" s="12">
        <v>9.79821</v>
      </c>
      <c r="K105" s="12">
        <f>J105</f>
        <v>9.79821</v>
      </c>
      <c r="M105" s="12">
        <f>ABS(E105)</f>
        <v>35.166667</v>
      </c>
      <c r="N105" s="8">
        <f>SQRT(((a_^2*COS(E105*deg))^2+(b_^2*SIN(E105*deg))^2)/((a_*COS(E105*deg))^2+(b_*SIN(E105*deg))^2))</f>
        <v>6371073.660826441</v>
      </c>
      <c r="O105" s="7">
        <f>IF(E105,K105*(N105+G105)^2/N105^2,"x")</f>
        <v>9.798886697063148</v>
      </c>
    </row>
    <row r="106" spans="4:15" ht="13.5">
      <c r="D106" s="12" t="s">
        <v>112</v>
      </c>
      <c r="E106" s="12">
        <v>59.95</v>
      </c>
      <c r="F106" s="12">
        <v>10.75</v>
      </c>
      <c r="G106" s="12">
        <v>23</v>
      </c>
      <c r="I106" s="12">
        <v>9.825</v>
      </c>
      <c r="J106" s="12">
        <v>9.81943</v>
      </c>
      <c r="K106" s="12">
        <f>J106</f>
        <v>9.81943</v>
      </c>
      <c r="M106" s="12">
        <f>ABS(E106)</f>
        <v>59.95</v>
      </c>
      <c r="N106" s="8">
        <f>SQRT(((a_^2*COS(E106*deg))^2+(b_^2*SIN(E106*deg))^2)/((a_*COS(E106*deg))^2+(b_*SIN(E106*deg))^2))</f>
        <v>6362174.644446535</v>
      </c>
      <c r="O106" s="7">
        <f>IF(E106,K106*(N106+G106)^2/N106^2,"x")</f>
        <v>9.81950099688734</v>
      </c>
    </row>
    <row r="107" spans="4:15" ht="13.5">
      <c r="D107" s="12" t="s">
        <v>113</v>
      </c>
      <c r="E107" s="12">
        <v>45.416667</v>
      </c>
      <c r="F107" s="12">
        <v>-75.683333</v>
      </c>
      <c r="G107" s="12">
        <v>70</v>
      </c>
      <c r="I107" s="12">
        <v>9.806</v>
      </c>
      <c r="J107" s="12">
        <v>9.80599</v>
      </c>
      <c r="K107" s="12">
        <f>J107</f>
        <v>9.80599</v>
      </c>
      <c r="M107" s="12">
        <f>ABS(E107)</f>
        <v>45.416667</v>
      </c>
      <c r="N107" s="8">
        <f>SQRT(((a_^2*COS(E107*deg))^2+(b_^2*SIN(E107*deg))^2)/((a_*COS(E107*deg))^2+(b_*SIN(E107*deg))^2))</f>
        <v>6367339.632658974</v>
      </c>
      <c r="O107" s="7">
        <f>IF(E107,K107*(N107+G107)^2/N107^2,"x")</f>
        <v>9.80620560749472</v>
      </c>
    </row>
    <row r="108" spans="4:15" ht="13.5">
      <c r="D108" s="12" t="s">
        <v>114</v>
      </c>
      <c r="E108" s="12">
        <v>48.8567</v>
      </c>
      <c r="F108" s="12">
        <v>2.3508</v>
      </c>
      <c r="G108" s="12">
        <v>35</v>
      </c>
      <c r="I108" s="12">
        <v>9.809</v>
      </c>
      <c r="J108" s="12">
        <v>9.80951</v>
      </c>
      <c r="K108" s="12">
        <f>J108</f>
        <v>9.80951</v>
      </c>
      <c r="M108" s="12">
        <f>ABS(E108)</f>
        <v>48.8567</v>
      </c>
      <c r="N108" s="8">
        <f>SQRT(((a_^2*COS(E108*deg))^2+(b_^2*SIN(E108*deg))^2)/((a_*COS(E108*deg))^2+(b_*SIN(E108*deg))^2))</f>
        <v>6366064.334081228</v>
      </c>
      <c r="O108" s="7">
        <f>IF(E108,K108*(N108+G108)^2/N108^2,"x")</f>
        <v>9.80961786375248</v>
      </c>
    </row>
    <row r="109" spans="4:15" ht="13.5">
      <c r="D109" s="12" t="s">
        <v>115</v>
      </c>
      <c r="E109" s="12">
        <v>-31.952222</v>
      </c>
      <c r="F109" s="12">
        <v>115.858889</v>
      </c>
      <c r="G109" s="12">
        <v>31.5</v>
      </c>
      <c r="I109" s="12">
        <v>9.794</v>
      </c>
      <c r="J109" s="12">
        <v>9.79359</v>
      </c>
      <c r="K109" s="12">
        <f>J109</f>
        <v>9.79359</v>
      </c>
      <c r="M109" s="12">
        <f>ABS(E109)</f>
        <v>31.952222</v>
      </c>
      <c r="N109" s="8">
        <f>SQRT(((a_^2*COS(E109*deg))^2+(b_^2*SIN(E109*deg))^2)/((a_*COS(E109*deg))^2+(b_*SIN(E109*deg))^2))</f>
        <v>6372170.457408183</v>
      </c>
      <c r="O109" s="7">
        <f>IF(E109,K109*(N109+G109)^2/N109^2,"x")</f>
        <v>9.793686826928775</v>
      </c>
    </row>
    <row r="110" spans="4:15" ht="13.5">
      <c r="D110" s="12" t="s">
        <v>116</v>
      </c>
      <c r="E110" s="12">
        <v>-22.908333</v>
      </c>
      <c r="F110" s="12">
        <v>-43.196389</v>
      </c>
      <c r="G110" s="12">
        <v>500</v>
      </c>
      <c r="H110" s="12">
        <v>500</v>
      </c>
      <c r="I110" s="12">
        <v>9.788</v>
      </c>
      <c r="J110" s="12">
        <v>9.78644</v>
      </c>
      <c r="K110" s="12">
        <f>J110</f>
        <v>9.78644</v>
      </c>
      <c r="M110" s="12">
        <f>ABS(E110)</f>
        <v>22.908333</v>
      </c>
      <c r="N110" s="8">
        <f>SQRT(((a_^2*COS(E110*deg))^2+(b_^2*SIN(E110*deg))^2)/((a_*COS(E110*deg))^2+(b_*SIN(E110*deg))^2))</f>
        <v>6374895.418569376</v>
      </c>
      <c r="O110" s="7">
        <f>IF(E110,K110*(N110+G110)^2/N110^2,"x")</f>
        <v>9.78797521323028</v>
      </c>
    </row>
    <row r="111" spans="4:15" ht="13.5">
      <c r="D111" s="12" t="s">
        <v>117</v>
      </c>
      <c r="E111" s="12">
        <v>41.9</v>
      </c>
      <c r="F111" s="12">
        <v>12.5</v>
      </c>
      <c r="G111" s="12">
        <v>21</v>
      </c>
      <c r="I111" s="12">
        <v>9.803</v>
      </c>
      <c r="J111" s="12">
        <v>9.8037</v>
      </c>
      <c r="K111" s="12">
        <f>J111</f>
        <v>9.8037</v>
      </c>
      <c r="M111" s="12">
        <f>ABS(E111)</f>
        <v>41.9</v>
      </c>
      <c r="N111" s="8">
        <f>SQRT(((a_^2*COS(E111*deg))^2+(b_^2*SIN(E111*deg))^2)/((a_*COS(E111*deg))^2+(b_*SIN(E111*deg))^2))</f>
        <v>6368644.184960445</v>
      </c>
      <c r="O111" s="7">
        <f>IF(E111,K111*(N111+G111)^2/N111^2,"x")</f>
        <v>9.80376465364792</v>
      </c>
    </row>
    <row r="112" spans="4:15" ht="13.5">
      <c r="D112" s="12" t="s">
        <v>118</v>
      </c>
      <c r="E112" s="12">
        <v>47.609722</v>
      </c>
      <c r="F112" s="12">
        <v>-122.333056</v>
      </c>
      <c r="G112" s="12">
        <v>250</v>
      </c>
      <c r="H112" s="12">
        <v>250</v>
      </c>
      <c r="I112" s="12">
        <v>9.811</v>
      </c>
      <c r="J112" s="12">
        <v>9.80652</v>
      </c>
      <c r="K112" s="12">
        <f>J112</f>
        <v>9.80652</v>
      </c>
      <c r="M112" s="12">
        <f>ABS(E112)</f>
        <v>47.609722</v>
      </c>
      <c r="N112" s="8">
        <f>SQRT(((a_^2*COS(E112*deg))^2+(b_^2*SIN(E112*deg))^2)/((a_*COS(E112*deg))^2+(b_*SIN(E112*deg))^2))</f>
        <v>6366525.344592493</v>
      </c>
      <c r="O112" s="7">
        <f>IF(E112,K112*(N112+G112)^2/N112^2,"x")</f>
        <v>9.807290177766513</v>
      </c>
    </row>
    <row r="113" spans="4:15" ht="13.5">
      <c r="D113" s="12" t="s">
        <v>119</v>
      </c>
      <c r="E113" s="12">
        <v>1.3</v>
      </c>
      <c r="F113" s="12">
        <v>103.8</v>
      </c>
      <c r="G113" s="12">
        <v>15</v>
      </c>
      <c r="I113" s="12">
        <v>9.776</v>
      </c>
      <c r="J113" s="12">
        <v>9.78069</v>
      </c>
      <c r="K113" s="12">
        <f>J113</f>
        <v>9.78069</v>
      </c>
      <c r="M113" s="12">
        <f>ABS(E113)</f>
        <v>1.3</v>
      </c>
      <c r="N113" s="8">
        <f>SQRT(((a_^2*COS(E113*deg))^2+(b_^2*SIN(E113*deg))^2)/((a_*COS(E113*deg))^2+(b_*SIN(E113*deg))^2))</f>
        <v>6378089.127809743</v>
      </c>
      <c r="O113" s="7">
        <f>IF(E113,K113*(N113+G113)^2/N113^2,"x")</f>
        <v>9.780736004538218</v>
      </c>
    </row>
    <row r="114" spans="4:15" ht="13.5">
      <c r="D114" s="12" t="s">
        <v>120</v>
      </c>
      <c r="E114" s="12">
        <v>42</v>
      </c>
      <c r="F114" s="12">
        <v>21.433333</v>
      </c>
      <c r="G114" s="12">
        <v>240</v>
      </c>
      <c r="I114" s="12">
        <v>9.804</v>
      </c>
      <c r="J114" s="12">
        <v>9.80262</v>
      </c>
      <c r="K114" s="12">
        <f>J114</f>
        <v>9.80262</v>
      </c>
      <c r="M114" s="12">
        <f>ABS(E114)</f>
        <v>42</v>
      </c>
      <c r="N114" s="8">
        <f>SQRT(((a_^2*COS(E114*deg))^2+(b_^2*SIN(E114*deg))^2)/((a_*COS(E114*deg))^2+(b_*SIN(E114*deg))^2))</f>
        <v>6368607.253454173</v>
      </c>
      <c r="O114" s="7">
        <f>IF(E114,K114*(N114+G114)^2/N114^2,"x")</f>
        <v>9.803358834421907</v>
      </c>
    </row>
    <row r="115" spans="4:15" ht="13.5">
      <c r="D115" s="12" t="s">
        <v>70</v>
      </c>
      <c r="E115" s="12">
        <v>59.329444</v>
      </c>
      <c r="F115" s="12">
        <v>18.068611</v>
      </c>
      <c r="G115" s="12">
        <v>0</v>
      </c>
      <c r="I115" s="12">
        <v>9.818</v>
      </c>
      <c r="J115" s="12">
        <v>9.81846</v>
      </c>
      <c r="K115" s="12">
        <f>J115</f>
        <v>9.81846</v>
      </c>
      <c r="M115" s="12">
        <f>ABS(E115)</f>
        <v>59.329444</v>
      </c>
      <c r="N115" s="8">
        <f>SQRT(((a_^2*COS(E115*deg))^2+(b_^2*SIN(E115*deg))^2)/((a_*COS(E115*deg))^2+(b_*SIN(E115*deg))^2))</f>
        <v>6362376.6848087</v>
      </c>
      <c r="O115" s="7">
        <f>IF(E115,K115*(N115+G115)^2/N115^2,"x")</f>
        <v>9.81846</v>
      </c>
    </row>
    <row r="116" spans="4:15" ht="13.5">
      <c r="D116" s="12" t="s">
        <v>121</v>
      </c>
      <c r="E116" s="12">
        <v>-33.865</v>
      </c>
      <c r="F116" s="12">
        <v>151.209444</v>
      </c>
      <c r="G116" s="12">
        <v>30</v>
      </c>
      <c r="H116" s="12">
        <v>30</v>
      </c>
      <c r="I116" s="12">
        <v>9.797</v>
      </c>
      <c r="J116" s="12">
        <v>9.79678</v>
      </c>
      <c r="K116" s="12">
        <f>J116</f>
        <v>9.79678</v>
      </c>
      <c r="M116" s="12">
        <f>ABS(E116)</f>
        <v>33.865</v>
      </c>
      <c r="N116" s="8">
        <f>SQRT(((a_^2*COS(E116*deg))^2+(b_^2*SIN(E116*deg))^2)/((a_*COS(E116*deg))^2+(b_*SIN(E116*deg))^2))</f>
        <v>6371524.121778658</v>
      </c>
      <c r="O116" s="7">
        <f>IF(E116,K116*(N116+G116)^2/N116^2,"x")</f>
        <v>9.79687225550631</v>
      </c>
    </row>
    <row r="117" spans="4:15" ht="13.5">
      <c r="D117" s="12" t="s">
        <v>122</v>
      </c>
      <c r="E117" s="12">
        <v>25.033333</v>
      </c>
      <c r="F117" s="12">
        <v>121.633333</v>
      </c>
      <c r="G117" s="12">
        <v>10</v>
      </c>
      <c r="I117" s="12">
        <v>9.79</v>
      </c>
      <c r="J117" s="12">
        <v>9.78974</v>
      </c>
      <c r="K117" s="12">
        <f>J117</f>
        <v>9.78974</v>
      </c>
      <c r="M117" s="12">
        <f>ABS(E117)</f>
        <v>25.033333</v>
      </c>
      <c r="N117" s="8">
        <f>SQRT(((a_^2*COS(E117*deg))^2+(b_^2*SIN(E117*deg))^2)/((a_*COS(E117*deg))^2+(b_*SIN(E117*deg))^2))</f>
        <v>6374312.30133871</v>
      </c>
      <c r="O117" s="7">
        <f>IF(E117,K117*(N117+G117)^2/N117^2,"x")</f>
        <v>9.789770716247387</v>
      </c>
    </row>
    <row r="118" spans="4:15" ht="13.5">
      <c r="D118" s="12" t="s">
        <v>123</v>
      </c>
      <c r="E118" s="12">
        <v>35.683333</v>
      </c>
      <c r="F118" s="12">
        <v>139.683333</v>
      </c>
      <c r="G118" s="12">
        <v>40</v>
      </c>
      <c r="I118" s="12">
        <v>9.798</v>
      </c>
      <c r="J118" s="12">
        <v>9.79776</v>
      </c>
      <c r="K118" s="12">
        <f>J118</f>
        <v>9.79776</v>
      </c>
      <c r="M118" s="12">
        <f>ABS(E118)</f>
        <v>35.683333</v>
      </c>
      <c r="N118" s="8">
        <f>SQRT(((a_^2*COS(E118*deg))^2+(b_^2*SIN(E118*deg))^2)/((a_*COS(E118*deg))^2+(b_*SIN(E118*deg))^2))</f>
        <v>6370892.718771049</v>
      </c>
      <c r="O118" s="7">
        <f>IF(E118,K118*(N118+G118)^2/N118^2,"x")</f>
        <v>9.797883031935278</v>
      </c>
    </row>
    <row r="119" spans="4:15" ht="13.5">
      <c r="D119" s="12" t="s">
        <v>124</v>
      </c>
      <c r="E119" s="12">
        <v>43.7</v>
      </c>
      <c r="F119" s="12">
        <v>-79.4</v>
      </c>
      <c r="G119" s="12">
        <v>76</v>
      </c>
      <c r="I119" s="12">
        <v>9.807</v>
      </c>
      <c r="J119" s="12">
        <v>9.80435</v>
      </c>
      <c r="K119" s="12">
        <f>J119</f>
        <v>9.80435</v>
      </c>
      <c r="M119" s="12">
        <f>ABS(E119)</f>
        <v>43.7</v>
      </c>
      <c r="N119" s="8">
        <f>SQRT(((a_^2*COS(E119*deg))^2+(b_^2*SIN(E119*deg))^2)/((a_*COS(E119*deg))^2+(b_*SIN(E119*deg))^2))</f>
        <v>6367977.547317403</v>
      </c>
      <c r="O119" s="7">
        <f>IF(E119,K119*(N119+G119)^2/N119^2,"x")</f>
        <v>9.804584025651291</v>
      </c>
    </row>
    <row r="120" spans="4:15" ht="13.5">
      <c r="D120" s="12" t="s">
        <v>125</v>
      </c>
      <c r="E120" s="12">
        <v>49.25</v>
      </c>
      <c r="F120" s="12">
        <v>-123.1</v>
      </c>
      <c r="G120" s="12">
        <v>75</v>
      </c>
      <c r="H120" s="12">
        <v>75</v>
      </c>
      <c r="I120" s="12">
        <v>9.809</v>
      </c>
      <c r="J120" s="12">
        <v>9.80915</v>
      </c>
      <c r="K120" s="12">
        <f>J120</f>
        <v>9.80915</v>
      </c>
      <c r="M120" s="12">
        <f>ABS(E120)</f>
        <v>49.25</v>
      </c>
      <c r="N120" s="8">
        <f>SQRT(((a_^2*COS(E120*deg))^2+(b_^2*SIN(E120*deg))^2)/((a_*COS(E120*deg))^2+(b_*SIN(E120*deg))^2))</f>
        <v>6365919.416769095</v>
      </c>
      <c r="O120" s="7">
        <f>IF(E120,K120*(N120+G120)^2/N120^2,"x")</f>
        <v>9.809381134117658</v>
      </c>
    </row>
    <row r="121" spans="4:15" ht="13.5">
      <c r="D121" s="12" t="s">
        <v>126</v>
      </c>
      <c r="E121" s="12">
        <v>38.904722</v>
      </c>
      <c r="F121" s="12">
        <v>-77.016389</v>
      </c>
      <c r="G121" s="12">
        <v>125</v>
      </c>
      <c r="I121" s="12">
        <v>9.801</v>
      </c>
      <c r="J121" s="12">
        <v>9.8006</v>
      </c>
      <c r="K121" s="12">
        <f>J121</f>
        <v>9.8006</v>
      </c>
      <c r="M121" s="12">
        <f>ABS(E121)</f>
        <v>38.904722</v>
      </c>
      <c r="N121" s="8">
        <f>SQRT(((a_^2*COS(E121*deg))^2+(b_^2*SIN(E121*deg))^2)/((a_*COS(E121*deg))^2+(b_*SIN(E121*deg))^2))</f>
        <v>6369741.400451478</v>
      </c>
      <c r="O121" s="7">
        <f>IF(E121,K121*(N121+G121)^2/N121^2,"x")</f>
        <v>9.80098465832235</v>
      </c>
    </row>
    <row r="122" spans="4:15" ht="13.5">
      <c r="D122" s="12" t="s">
        <v>127</v>
      </c>
      <c r="E122" s="12">
        <v>-41.288889</v>
      </c>
      <c r="F122" s="12">
        <v>174.777222</v>
      </c>
      <c r="G122" s="12">
        <v>0</v>
      </c>
      <c r="I122" s="12">
        <v>9.803</v>
      </c>
      <c r="J122" s="12">
        <v>9.80294</v>
      </c>
      <c r="K122" s="12">
        <f>J122</f>
        <v>9.80294</v>
      </c>
      <c r="M122" s="12">
        <f>ABS(E122)</f>
        <v>41.288889</v>
      </c>
      <c r="N122" s="8">
        <f>SQRT(((a_^2*COS(E122*deg))^2+(b_^2*SIN(E122*deg))^2)/((a_*COS(E122*deg))^2+(b_*SIN(E122*deg))^2))</f>
        <v>6368869.533353614</v>
      </c>
      <c r="O122" s="7">
        <f>IF(E122,K122*(N122+G122)^2/N122^2,"x")</f>
        <v>9.80294</v>
      </c>
    </row>
    <row r="123" spans="4:15" ht="13.5">
      <c r="D123" s="12" t="s">
        <v>128</v>
      </c>
      <c r="E123" s="12">
        <v>47.366667</v>
      </c>
      <c r="F123" s="12">
        <v>8.55</v>
      </c>
      <c r="G123" s="12">
        <v>408</v>
      </c>
      <c r="I123" s="12">
        <v>9.807</v>
      </c>
      <c r="J123" s="12">
        <v>9.80678</v>
      </c>
      <c r="K123" s="12">
        <f>J123</f>
        <v>9.80678</v>
      </c>
      <c r="M123" s="12">
        <f>ABS(E123)</f>
        <v>47.366667</v>
      </c>
      <c r="N123" s="8">
        <f>SQRT(((a_^2*COS(E123*deg))^2+(b_^2*SIN(E123*deg))^2)/((a_*COS(E123*deg))^2+(b_*SIN(E123*deg))^2))</f>
        <v>6366615.424366885</v>
      </c>
      <c r="O123" s="7">
        <f>IF(E123,K123*(N123+G123)^2/N123^2,"x")</f>
        <v>9.808036961251538</v>
      </c>
    </row>
    <row r="124" spans="4:15" ht="13.5">
      <c r="D124" s="12" t="s">
        <v>129</v>
      </c>
      <c r="E124" s="12">
        <v>-77.85</v>
      </c>
      <c r="F124" s="12">
        <v>166.666667</v>
      </c>
      <c r="G124" s="12">
        <v>3</v>
      </c>
      <c r="I124" s="12">
        <v>9.83876</v>
      </c>
      <c r="J124" s="12">
        <v>9.82968</v>
      </c>
      <c r="K124" s="12">
        <f>J124</f>
        <v>9.82968</v>
      </c>
      <c r="M124" s="12">
        <f>ABS(E124)</f>
        <v>77.85</v>
      </c>
      <c r="N124" s="8">
        <f>SQRT(((a_^2*COS(E124*deg))^2+(b_^2*SIN(E124*deg))^2)/((a_*COS(E124*deg))^2+(b_*SIN(E124*deg))^2))</f>
        <v>6357751.126329017</v>
      </c>
      <c r="O124" s="7">
        <f>IF(E124,K124*(N124+G124)^2/N124^2,"x")</f>
        <v>9.829689276565366</v>
      </c>
    </row>
    <row r="125" spans="4:15" ht="13.5">
      <c r="D125" s="12" t="s">
        <v>130</v>
      </c>
      <c r="E125" s="12">
        <v>80</v>
      </c>
      <c r="F125" s="12">
        <v>-100</v>
      </c>
      <c r="G125" s="12">
        <v>1</v>
      </c>
      <c r="I125" s="12">
        <v>9.83971</v>
      </c>
      <c r="J125" s="12">
        <v>9.83046</v>
      </c>
      <c r="K125" s="12">
        <f>J125</f>
        <v>9.83046</v>
      </c>
      <c r="M125" s="12">
        <f>ABS(E125)</f>
        <v>80</v>
      </c>
      <c r="N125" s="8">
        <f>SQRT(((a_^2*COS(E125*deg))^2+(b_^2*SIN(E125*deg))^2)/((a_*COS(E125*deg))^2+(b_*SIN(E125*deg))^2))</f>
        <v>6357447.504209083</v>
      </c>
      <c r="O125" s="7">
        <f>IF(E125,K125*(N125+G125)^2/N125^2,"x")</f>
        <v>9.83046309258103</v>
      </c>
    </row>
    <row r="126" spans="4:15" ht="13.5">
      <c r="D126" s="12" t="s">
        <v>131</v>
      </c>
      <c r="E126" s="12">
        <v>83.666667</v>
      </c>
      <c r="F126" s="12">
        <v>-29.833333</v>
      </c>
      <c r="G126" s="12">
        <v>-92</v>
      </c>
      <c r="I126" s="12" t="s">
        <v>132</v>
      </c>
      <c r="J126" s="12">
        <v>9.83204</v>
      </c>
      <c r="K126" s="12">
        <f>J126</f>
        <v>9.83204</v>
      </c>
      <c r="M126" s="12">
        <f>IF(E126,ABS(E126),"x")</f>
        <v>83.666667</v>
      </c>
      <c r="N126" s="8">
        <f>SQRT(((a_^2*COS(E126*deg))^2+(b_^2*SIN(E126*deg))^2)/((a_*COS(E126*deg))^2+(b_*SIN(E126*deg))^2))</f>
        <v>6357061.347046174</v>
      </c>
      <c r="O126" s="7">
        <f>IF(E126,K126*(N126+G126)^2/N126^2,"x")</f>
        <v>9.831755421612199</v>
      </c>
    </row>
    <row r="127" spans="4:15" ht="13.5">
      <c r="D127" s="12" t="s">
        <v>133</v>
      </c>
      <c r="E127" s="12">
        <v>83.56</v>
      </c>
      <c r="F127" s="12">
        <v>-29.83333</v>
      </c>
      <c r="G127" s="12">
        <v>7</v>
      </c>
      <c r="I127" s="12">
        <v>9.84086</v>
      </c>
      <c r="J127" s="12">
        <v>9.83161</v>
      </c>
      <c r="K127" s="12">
        <f>J127</f>
        <v>9.83161</v>
      </c>
      <c r="M127" s="12">
        <f>IF(E127,ABS(E127),"x")</f>
        <v>83.56</v>
      </c>
      <c r="N127" s="8">
        <f>SQRT(((a_^2*COS(E127*deg))^2+(b_^2*SIN(E127*deg))^2)/((a_*COS(E127*deg))^2+(b_*SIN(E127*deg))^2))</f>
        <v>6357070.18612903</v>
      </c>
      <c r="O127" s="7">
        <f>IF(E127,K127*(N127+G127)^2/N127^2,"x")</f>
        <v>9.831631651894938</v>
      </c>
    </row>
    <row r="128" spans="4:15" ht="13.5">
      <c r="D128" s="12" t="s">
        <v>134</v>
      </c>
      <c r="E128" s="12">
        <v>-89</v>
      </c>
      <c r="F128" s="12">
        <v>0</v>
      </c>
      <c r="G128" s="12">
        <v>2696</v>
      </c>
      <c r="I128" s="12">
        <v>9.83338</v>
      </c>
      <c r="J128" s="12">
        <v>9.82323</v>
      </c>
      <c r="K128" s="12">
        <f>J128</f>
        <v>9.82323</v>
      </c>
      <c r="M128" s="12">
        <f>IF(E128,ABS(E128),"x")</f>
        <v>89</v>
      </c>
      <c r="N128" s="8">
        <f>SQRT(((a_^2*COS(E128*deg))^2+(b_^2*SIN(E128*deg))^2)/((a_*COS(E128*deg))^2+(b_*SIN(E128*deg))^2))</f>
        <v>6356806.542167773</v>
      </c>
      <c r="O128" s="7">
        <f>IF(E128,K128*(N128+G128)^2/N128^2,"x")</f>
        <v>9.831564072738697</v>
      </c>
    </row>
    <row r="129" spans="4:15" ht="13.5">
      <c r="D129" s="12" t="s">
        <v>135</v>
      </c>
      <c r="E129" s="12">
        <v>40.12498</v>
      </c>
      <c r="F129" s="12">
        <v>-105.2368</v>
      </c>
      <c r="G129" s="12">
        <v>1689</v>
      </c>
      <c r="I129" s="12">
        <v>9.79798</v>
      </c>
      <c r="J129" s="12">
        <v>9.7961</v>
      </c>
      <c r="K129" s="12">
        <f>J129</f>
        <v>9.7961</v>
      </c>
      <c r="M129" s="12">
        <f>IF(E129,ABS(E129),"x")</f>
        <v>40.12498</v>
      </c>
      <c r="N129" s="8">
        <f>SQRT(((a_^2*COS(E129*deg))^2+(b_^2*SIN(E129*deg))^2)/((a_*COS(E129*deg))^2+(b_*SIN(E129*deg))^2))</f>
        <v>6369296.802457877</v>
      </c>
      <c r="O129" s="7">
        <f>IF(E129,K129*(N129+G129)^2/N129^2,"x")</f>
        <v>9.801296117305531</v>
      </c>
    </row>
    <row r="130" spans="4:15" ht="13.5">
      <c r="D130" s="12" t="s">
        <v>136</v>
      </c>
      <c r="E130" s="12">
        <v>55.916667</v>
      </c>
      <c r="F130" s="12">
        <v>-3.2</v>
      </c>
      <c r="G130" s="12">
        <v>174</v>
      </c>
      <c r="I130" s="12">
        <v>9.82033</v>
      </c>
      <c r="J130" s="12">
        <v>9.81566</v>
      </c>
      <c r="K130" s="12">
        <f>J130</f>
        <v>9.81566</v>
      </c>
      <c r="M130" s="12">
        <f>IF(E130,ABS(E130),"x")</f>
        <v>55.916667</v>
      </c>
      <c r="N130" s="8">
        <f>SQRT(((a_^2*COS(E130*deg))^2+(b_^2*SIN(E130*deg))^2)/((a_*COS(E130*deg))^2+(b_*SIN(E130*deg))^2))</f>
        <v>6363527.614891399</v>
      </c>
      <c r="O130" s="7">
        <f>IF(E130,K130*(N130+G130)^2/N130^2,"x")</f>
        <v>9.816196792890212</v>
      </c>
    </row>
    <row r="131" spans="13:15" ht="13.5">
      <c r="M131" s="12" t="str">
        <f>IF(E131,ABS(E131),"x")</f>
        <v>x</v>
      </c>
      <c r="N131" s="8">
        <f>SQRT(((a_^2*COS(E131*deg))^2+(b_^2*SIN(E131*deg))^2)/((a_*COS(E131*deg))^2+(b_*SIN(E131*deg))^2))</f>
        <v>6378100</v>
      </c>
      <c r="O131" s="7" t="str">
        <f>IF(E131,K131*(N131+G131)^2/N131^2,"x")</f>
        <v>x</v>
      </c>
    </row>
    <row r="132" spans="13:15" ht="13.5">
      <c r="M132" s="12" t="str">
        <f>IF(E132,ABS(E132),"x")</f>
        <v>x</v>
      </c>
      <c r="N132" s="8">
        <f>SQRT(((a_^2*COS(E132*deg))^2+(b_^2*SIN(E132*deg))^2)/((a_*COS(E132*deg))^2+(b_*SIN(E132*deg))^2))</f>
        <v>6378100</v>
      </c>
      <c r="O132" s="7" t="str">
        <f>IF(E132,K132*(N132+G132)^2/N132^2,"x")</f>
        <v>x</v>
      </c>
    </row>
    <row r="133" spans="13:15" ht="12.75">
      <c r="M133" s="12" t="str">
        <f>IF(E133,ABS(E133),"x")</f>
        <v>x</v>
      </c>
      <c r="N133" s="8">
        <f>SQRT(((a_^2*COS(E133*deg))^2+(b_^2*SIN(E133*deg))^2)/((a_*COS(E133*deg))^2+(b_*SIN(E133*deg))^2))</f>
        <v>6378100</v>
      </c>
      <c r="O133" s="7" t="str">
        <f>IF(E133,K133*(N133+G133)^2/N133^2,"x")</f>
        <v>x</v>
      </c>
    </row>
    <row r="134" spans="13:15" ht="12.75">
      <c r="M134" s="12" t="str">
        <f>IF(E134,ABS(E134),"x")</f>
        <v>x</v>
      </c>
      <c r="N134" s="8">
        <f>SQRT(((a_^2*COS(E134*deg))^2+(b_^2*SIN(E134*deg))^2)/((a_*COS(E134*deg))^2+(b_*SIN(E134*deg))^2))</f>
        <v>6378100</v>
      </c>
      <c r="O134" s="7" t="str">
        <f>IF(E134,K134*(N134+G134)^2/N134^2,"x")</f>
        <v>x</v>
      </c>
    </row>
    <row r="135" spans="13:15" ht="12.75">
      <c r="M135" s="12" t="str">
        <f>IF(E135,ABS(E135),"x")</f>
        <v>x</v>
      </c>
      <c r="N135" s="8">
        <f>SQRT(((a_^2*COS(E135*deg))^2+(b_^2*SIN(E135*deg))^2)/((a_*COS(E135*deg))^2+(b_*SIN(E135*deg))^2))</f>
        <v>6378100</v>
      </c>
      <c r="O135" s="7" t="str">
        <f>IF(E135,K135*(N135+G135)^2/N135^2,"x")</f>
        <v>x</v>
      </c>
    </row>
    <row r="136" spans="14:15" ht="12.75">
      <c r="N136" s="8"/>
      <c r="O136" s="7"/>
    </row>
    <row r="137" spans="14:15" ht="12.75">
      <c r="N137" s="8"/>
      <c r="O137" s="7"/>
    </row>
    <row r="138" spans="13:14" ht="12.75">
      <c r="M138" s="8"/>
      <c r="N138" s="7"/>
    </row>
    <row r="139" spans="13:14" ht="12.75">
      <c r="M139" s="8"/>
      <c r="N139" s="7"/>
    </row>
    <row r="140" spans="13:14" ht="12.75">
      <c r="M140" s="8"/>
      <c r="N140" s="7"/>
    </row>
    <row r="141" spans="13:14" ht="12.75">
      <c r="M141" s="8"/>
      <c r="N141" s="7"/>
    </row>
    <row r="142" spans="13:14" ht="12.75">
      <c r="M142" s="8"/>
      <c r="N142" s="7"/>
    </row>
    <row r="143" spans="13:14" ht="12.75">
      <c r="M143" s="8"/>
      <c r="N143" s="7"/>
    </row>
    <row r="144" spans="13:14" ht="12.75">
      <c r="M144" s="8"/>
      <c r="N144" s="7"/>
    </row>
    <row r="145" spans="13:14" ht="12.75">
      <c r="M145" s="8"/>
      <c r="N145" s="7"/>
    </row>
    <row r="146" spans="13:14" ht="12.75">
      <c r="M146" s="8"/>
      <c r="N146" s="7"/>
    </row>
    <row r="147" spans="13:14" ht="12.75">
      <c r="M147" s="8"/>
      <c r="N147" s="7"/>
    </row>
    <row r="148" spans="13:14" ht="12.75">
      <c r="M148" s="8"/>
      <c r="N148" s="7"/>
    </row>
    <row r="149" spans="13:14" ht="12.75">
      <c r="M149" s="8"/>
      <c r="N149" s="7"/>
    </row>
    <row r="150" spans="13:14" ht="12.75">
      <c r="M150" s="8"/>
      <c r="N150" s="7"/>
    </row>
    <row r="151" spans="13:14" ht="12.75">
      <c r="M151" s="8"/>
      <c r="N151" s="7"/>
    </row>
    <row r="152" spans="13:14" ht="12.75">
      <c r="M152" s="8"/>
      <c r="N152" s="7"/>
    </row>
    <row r="153" spans="13:14" ht="12.75">
      <c r="M153" s="8"/>
      <c r="N153" s="7"/>
    </row>
    <row r="154" spans="13:14" ht="12.75">
      <c r="M154" s="8"/>
      <c r="N154" s="7"/>
    </row>
    <row r="155" spans="13:14" ht="12.75">
      <c r="M155" s="8"/>
      <c r="N155" s="7"/>
    </row>
    <row r="156" spans="13:14" ht="12.75">
      <c r="M156" s="8"/>
      <c r="N156" s="7"/>
    </row>
    <row r="157" spans="13:14" ht="12.75">
      <c r="M157" s="8"/>
      <c r="N157" s="7"/>
    </row>
    <row r="158" spans="13:14" ht="12.75">
      <c r="M158" s="8"/>
      <c r="N158" s="7"/>
    </row>
    <row r="159" spans="13:14" ht="12.75">
      <c r="M159" s="8"/>
      <c r="N159" s="7"/>
    </row>
    <row r="160" spans="13:14" ht="12.75">
      <c r="M160" s="8"/>
      <c r="N160" s="7"/>
    </row>
    <row r="161" spans="13:14" ht="12.75">
      <c r="M161" s="8"/>
      <c r="N161" s="7"/>
    </row>
    <row r="162" spans="13:14" ht="12.75">
      <c r="M162" s="8"/>
      <c r="N162" s="7"/>
    </row>
    <row r="163" spans="13:14" ht="12.75">
      <c r="M163" s="8"/>
      <c r="N163" s="7"/>
    </row>
    <row r="164" spans="13:14" ht="12.75">
      <c r="M164" s="8"/>
      <c r="N164" s="7"/>
    </row>
    <row r="165" spans="13:14" ht="12.75">
      <c r="M165" s="8"/>
      <c r="N165" s="7"/>
    </row>
    <row r="166" spans="13:14" ht="12.75">
      <c r="M166" s="8"/>
      <c r="N166" s="7"/>
    </row>
    <row r="167" spans="13:14" ht="12.75">
      <c r="M167" s="8"/>
      <c r="N167" s="7"/>
    </row>
    <row r="168" spans="13:14" ht="12.75">
      <c r="M168" s="8"/>
      <c r="N168" s="7"/>
    </row>
    <row r="169" spans="13:14" ht="12.75">
      <c r="M169" s="8"/>
      <c r="N169" s="7"/>
    </row>
    <row r="170" spans="13:14" ht="12.75">
      <c r="M170" s="8"/>
      <c r="N170" s="7"/>
    </row>
    <row r="171" spans="13:14" ht="12.75">
      <c r="M171" s="8"/>
      <c r="N171" s="7"/>
    </row>
    <row r="172" spans="13:14" ht="12.75">
      <c r="M172" s="8"/>
      <c r="N172" s="7"/>
    </row>
    <row r="173" spans="13:14" ht="12.75">
      <c r="M173" s="8"/>
      <c r="N173" s="7"/>
    </row>
    <row r="174" spans="13:14" ht="12.75">
      <c r="M174" s="8"/>
      <c r="N174" s="7"/>
    </row>
    <row r="175" spans="13:14" ht="12.75">
      <c r="M175" s="8"/>
      <c r="N175" s="7"/>
    </row>
    <row r="176" spans="13:14" ht="12.75">
      <c r="M176" s="8"/>
      <c r="N176" s="7"/>
    </row>
    <row r="177" spans="13:14" ht="12.75">
      <c r="M177" s="8"/>
      <c r="N177" s="7"/>
    </row>
    <row r="178" spans="13:14" ht="12.75">
      <c r="M178" s="8"/>
      <c r="N178" s="7"/>
    </row>
    <row r="179" spans="13:14" ht="12.75">
      <c r="M179" s="8"/>
      <c r="N179" s="7"/>
    </row>
    <row r="180" spans="13:14" ht="12.75">
      <c r="M180" s="8"/>
      <c r="N180" s="7"/>
    </row>
    <row r="181" spans="13:14" ht="12.75">
      <c r="M181" s="8"/>
      <c r="N181" s="7"/>
    </row>
    <row r="182" spans="13:14" ht="12.75">
      <c r="M182" s="8"/>
      <c r="N182" s="7"/>
    </row>
    <row r="183" spans="13:14" ht="12.75">
      <c r="M183" s="8"/>
      <c r="N183" s="7"/>
    </row>
    <row r="184" spans="13:14" ht="12.75">
      <c r="M184" s="8"/>
      <c r="N184" s="7"/>
    </row>
    <row r="185" spans="13:14" ht="12.75">
      <c r="M185" s="8"/>
      <c r="N185" s="7"/>
    </row>
    <row r="186" spans="13:14" ht="12.75">
      <c r="M186" s="8"/>
      <c r="N186" s="7"/>
    </row>
    <row r="187" spans="13:14" ht="12.75">
      <c r="M187" s="8"/>
      <c r="N187" s="7"/>
    </row>
    <row r="188" spans="13:14" ht="12.75">
      <c r="M188" s="8"/>
      <c r="N188" s="7"/>
    </row>
    <row r="189" spans="13:14" ht="12.75">
      <c r="M189" s="8"/>
      <c r="N189" s="7"/>
    </row>
    <row r="190" spans="13:14" ht="12.75">
      <c r="M190" s="8"/>
      <c r="N190" s="7"/>
    </row>
    <row r="191" spans="13:14" ht="12.75">
      <c r="M191" s="8"/>
      <c r="N191" s="7"/>
    </row>
    <row r="192" spans="13:14" ht="12.75">
      <c r="M192" s="8"/>
      <c r="N192" s="7"/>
    </row>
    <row r="193" spans="13:14" ht="12.75">
      <c r="M193" s="8"/>
      <c r="N193" s="7"/>
    </row>
    <row r="194" spans="13:14" ht="12.75">
      <c r="M194" s="8"/>
      <c r="N194" s="7"/>
    </row>
    <row r="195" spans="13:14" ht="12.75">
      <c r="M195" s="8"/>
      <c r="N195" s="7"/>
    </row>
    <row r="196" spans="13:14" ht="12.75">
      <c r="M196" s="8"/>
      <c r="N196" s="7"/>
    </row>
    <row r="197" spans="13:14" ht="12.75">
      <c r="M197" s="8"/>
      <c r="N197" s="7"/>
    </row>
    <row r="198" spans="13:14" ht="12.75">
      <c r="M198" s="8"/>
      <c r="N198" s="7"/>
    </row>
    <row r="199" spans="13:14" ht="12.75">
      <c r="M199" s="8"/>
      <c r="N199" s="7"/>
    </row>
    <row r="200" spans="13:14" ht="12.75">
      <c r="M200" s="8"/>
      <c r="N200" s="7"/>
    </row>
    <row r="201" spans="13:14" ht="12.75">
      <c r="M201" s="8"/>
      <c r="N201" s="7"/>
    </row>
    <row r="202" spans="13:14" ht="12.75">
      <c r="M202" s="8"/>
      <c r="N202" s="7"/>
    </row>
    <row r="203" spans="13:14" ht="12.75">
      <c r="M203" s="8"/>
      <c r="N203" s="7"/>
    </row>
    <row r="204" spans="13:14" ht="12.75">
      <c r="M204" s="8"/>
      <c r="N204" s="7"/>
    </row>
    <row r="205" spans="13:14" ht="12.75">
      <c r="M205" s="8"/>
      <c r="N205" s="7"/>
    </row>
    <row r="206" spans="13:14" ht="12.75">
      <c r="M206" s="8"/>
      <c r="N206" s="7"/>
    </row>
    <row r="207" spans="13:14" ht="12.75">
      <c r="M207" s="8"/>
      <c r="N207" s="7"/>
    </row>
    <row r="208" spans="13:14" ht="12.75">
      <c r="M208" s="8"/>
      <c r="N208" s="7"/>
    </row>
    <row r="209" spans="13:14" ht="12.75">
      <c r="M209" s="8"/>
      <c r="N209" s="7"/>
    </row>
    <row r="210" spans="13:14" ht="12.75">
      <c r="M210" s="8"/>
      <c r="N210" s="7"/>
    </row>
    <row r="211" spans="13:14" ht="12.75">
      <c r="M211" s="8"/>
      <c r="N211" s="7"/>
    </row>
    <row r="212" spans="13:14" ht="12.75">
      <c r="M212" s="8"/>
      <c r="N212" s="7"/>
    </row>
    <row r="213" spans="13:14" ht="12.75">
      <c r="M213" s="8"/>
      <c r="N213" s="7"/>
    </row>
    <row r="214" spans="13:14" ht="12.75">
      <c r="M214" s="8"/>
      <c r="N214" s="7"/>
    </row>
    <row r="215" spans="13:14" ht="12.75">
      <c r="M215" s="8"/>
      <c r="N215" s="7"/>
    </row>
    <row r="216" spans="13:14" ht="12.75">
      <c r="M216" s="8"/>
      <c r="N216" s="7"/>
    </row>
    <row r="217" spans="13:14" ht="12.75">
      <c r="M217" s="8"/>
      <c r="N217" s="7"/>
    </row>
    <row r="218" spans="13:14" ht="12.75">
      <c r="M218" s="8"/>
      <c r="N218" s="7"/>
    </row>
    <row r="219" spans="13:14" ht="12.75">
      <c r="M219" s="8"/>
      <c r="N219" s="7"/>
    </row>
    <row r="220" spans="13:14" ht="12.75">
      <c r="M220" s="8"/>
      <c r="N220" s="7"/>
    </row>
    <row r="221" spans="13:14" ht="12.75">
      <c r="M221" s="8"/>
      <c r="N221" s="7"/>
    </row>
    <row r="222" spans="13:14" ht="12.75">
      <c r="M222" s="8"/>
      <c r="N222" s="7"/>
    </row>
    <row r="223" spans="13:14" ht="12.75">
      <c r="M223" s="8"/>
      <c r="N223" s="7"/>
    </row>
    <row r="224" spans="13:14" ht="12.75">
      <c r="M224" s="8"/>
      <c r="N224" s="7"/>
    </row>
    <row r="225" spans="13:14" ht="12.75">
      <c r="M225" s="8"/>
      <c r="N225" s="7"/>
    </row>
    <row r="226" spans="13:14" ht="12.75">
      <c r="M226" s="8"/>
      <c r="N226" s="7"/>
    </row>
    <row r="227" spans="13:14" ht="12.75">
      <c r="M227" s="8"/>
      <c r="N227" s="7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X249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2" customWidth="1"/>
    <col min="2" max="2" width="14.875" style="12" customWidth="1"/>
    <col min="3" max="3" width="10.375" style="12" customWidth="1"/>
    <col min="4" max="4" width="16.875" style="12" customWidth="1"/>
    <col min="5" max="5" width="11.125" style="12" bestFit="1" customWidth="1"/>
    <col min="6" max="6" width="12.75390625" style="12" customWidth="1"/>
    <col min="7" max="7" width="9.25390625" style="12" bestFit="1" customWidth="1"/>
    <col min="8" max="9" width="9.125" style="12" customWidth="1"/>
    <col min="10" max="10" width="11.875" style="12" customWidth="1"/>
    <col min="11" max="11" width="12.875" style="12" customWidth="1"/>
    <col min="12" max="12" width="14.25390625" style="12" customWidth="1"/>
    <col min="13" max="13" width="12.875" style="12" customWidth="1"/>
    <col min="14" max="18" width="9.125" style="12" customWidth="1"/>
    <col min="19" max="19" width="14.25390625" style="12" bestFit="1" customWidth="1"/>
    <col min="20" max="20" width="9.125" style="12" customWidth="1"/>
    <col min="21" max="21" width="10.875" style="12" customWidth="1"/>
    <col min="22" max="23" width="9.125" style="12" customWidth="1"/>
    <col min="24" max="24" width="9.25390625" style="12" bestFit="1" customWidth="1"/>
    <col min="25" max="256" width="9.125" style="12" customWidth="1"/>
  </cols>
  <sheetData>
    <row r="5" spans="3:10" ht="13.5">
      <c r="C5" s="12" t="s">
        <v>1</v>
      </c>
      <c r="D5" s="12">
        <f>[0]!bigG</f>
        <v>6.67428E-11</v>
      </c>
      <c r="F5" s="12" t="s">
        <v>2</v>
      </c>
      <c r="J5" s="12" t="s">
        <v>3</v>
      </c>
    </row>
    <row r="6" spans="3:10" ht="13.5">
      <c r="C6" s="12" t="s">
        <v>4</v>
      </c>
      <c r="D6" s="12">
        <v>5.9736E+24</v>
      </c>
      <c r="E6" s="12" t="s">
        <v>5</v>
      </c>
      <c r="J6" s="12" t="s">
        <v>6</v>
      </c>
    </row>
    <row r="7" spans="3:5" ht="13.5">
      <c r="C7" s="12" t="s">
        <v>7</v>
      </c>
      <c r="D7" s="12">
        <v>398600.4418</v>
      </c>
      <c r="E7" s="12" t="s">
        <v>8</v>
      </c>
    </row>
    <row r="8" spans="4:10" ht="13.5">
      <c r="D8" s="12">
        <f>D7*1000000000</f>
        <v>398600441800000</v>
      </c>
      <c r="E8" s="12" t="s">
        <v>9</v>
      </c>
      <c r="J8" s="12" t="s">
        <v>10</v>
      </c>
    </row>
    <row r="9" spans="3:12" ht="13.5">
      <c r="C9" s="12" t="s">
        <v>11</v>
      </c>
      <c r="D9" s="12">
        <v>6371000</v>
      </c>
      <c r="E9" s="12" t="s">
        <v>12</v>
      </c>
      <c r="J9" s="12">
        <f>$D$8/D9/D9</f>
        <v>9.820250487063928</v>
      </c>
      <c r="L9" s="12" t="s">
        <v>13</v>
      </c>
    </row>
    <row r="10" spans="3:10" ht="13.5">
      <c r="C10" s="12" t="s">
        <v>14</v>
      </c>
      <c r="D10" s="12">
        <v>6356800</v>
      </c>
      <c r="E10" s="12" t="s">
        <v>12</v>
      </c>
      <c r="J10" s="12">
        <f>$D$8/D10/D10</f>
        <v>9.864172997719821</v>
      </c>
    </row>
    <row r="11" spans="3:10" ht="13.5">
      <c r="C11" s="12" t="s">
        <v>15</v>
      </c>
      <c r="D11" s="12">
        <v>6378100</v>
      </c>
      <c r="E11" s="12" t="s">
        <v>12</v>
      </c>
      <c r="J11" s="12">
        <f>$D$8/D11/D11</f>
        <v>9.798399161197391</v>
      </c>
    </row>
    <row r="12" ht="13.5"/>
    <row r="13" ht="13.5">
      <c r="J13" s="12" t="s">
        <v>19</v>
      </c>
    </row>
    <row r="14" spans="3:12" ht="13.5">
      <c r="C14" s="12" t="s">
        <v>20</v>
      </c>
      <c r="D14" s="7">
        <f>D$5*D$6/D10/D10</f>
        <v>9.866507836466496</v>
      </c>
      <c r="F14" s="7">
        <f>D14/[0]!gstd</f>
        <v>1.0061038006318668</v>
      </c>
      <c r="J14" s="12">
        <v>9.780327</v>
      </c>
      <c r="K14" s="12">
        <v>0.00516323</v>
      </c>
      <c r="L14" s="12">
        <v>2.269E-05</v>
      </c>
    </row>
    <row r="15" spans="3:11" ht="13.5">
      <c r="C15" s="12" t="s">
        <v>21</v>
      </c>
      <c r="D15" s="7">
        <f>D$5*D$6/D9/D9</f>
        <v>9.82257492940132</v>
      </c>
      <c r="E15" s="12" t="s">
        <v>13</v>
      </c>
      <c r="F15" s="7">
        <f>D15/[0]!gstd</f>
        <v>1.0016238908701056</v>
      </c>
      <c r="J15" s="12" t="s">
        <v>22</v>
      </c>
      <c r="K15" s="12">
        <f>J14*(1+K14+L14)</f>
        <v>9.831046993395839</v>
      </c>
    </row>
    <row r="16" spans="3:7" ht="13.5">
      <c r="C16" s="12" t="s">
        <v>23</v>
      </c>
      <c r="D16" s="7">
        <f>D$5*D$6/D11/D11</f>
        <v>9.800718431350322</v>
      </c>
      <c r="F16" s="7">
        <f>D16/[0]!gstd</f>
        <v>0.9993951483279533</v>
      </c>
      <c r="G16" s="7">
        <f>F14/F16</f>
        <v>1.0067127124992927</v>
      </c>
    </row>
    <row r="17" ht="13.5">
      <c r="D17" s="7"/>
    </row>
    <row r="18" ht="13.5">
      <c r="D18" s="7"/>
    </row>
    <row r="19" spans="3:6" ht="13.5">
      <c r="C19" s="12" t="s">
        <v>25</v>
      </c>
      <c r="D19" s="7">
        <f>[0]!gstd</f>
        <v>9.80665</v>
      </c>
      <c r="E19" s="12" t="s">
        <v>13</v>
      </c>
      <c r="F19" s="12" t="s">
        <v>26</v>
      </c>
    </row>
    <row r="20" ht="13.5"/>
    <row r="21" spans="3:5" ht="13.5">
      <c r="C21" s="12" t="s">
        <v>28</v>
      </c>
      <c r="D21" s="12">
        <f>[0]!day</f>
        <v>86400</v>
      </c>
      <c r="E21" s="12" t="s">
        <v>29</v>
      </c>
    </row>
    <row r="22" spans="3:5" ht="13.5">
      <c r="C22" s="12" t="s">
        <v>30</v>
      </c>
      <c r="D22" s="12">
        <v>365.256</v>
      </c>
      <c r="E22" s="12" t="s">
        <v>31</v>
      </c>
    </row>
    <row r="23" spans="3:5" ht="12.75">
      <c r="C23" s="12" t="s">
        <v>30</v>
      </c>
      <c r="D23" s="12">
        <f>D21*[0]!day</f>
        <v>7464960000</v>
      </c>
      <c r="E23" s="12" t="s">
        <v>29</v>
      </c>
    </row>
    <row r="24" spans="3:6" ht="13.5">
      <c r="C24" s="12" t="s">
        <v>32</v>
      </c>
      <c r="D24" s="12">
        <v>60</v>
      </c>
      <c r="E24" s="12" t="s">
        <v>29</v>
      </c>
      <c r="F24" s="12" t="s">
        <v>33</v>
      </c>
    </row>
    <row r="25" spans="3:6" ht="12.75">
      <c r="C25" s="12" t="s">
        <v>34</v>
      </c>
      <c r="D25" s="12">
        <v>3600</v>
      </c>
      <c r="E25" s="12" t="s">
        <v>29</v>
      </c>
      <c r="F25" s="12" t="s">
        <v>33</v>
      </c>
    </row>
    <row r="26" spans="3:5" ht="12.75">
      <c r="C26" s="12" t="s">
        <v>35</v>
      </c>
      <c r="D26" s="12">
        <v>23.9345</v>
      </c>
      <c r="E26" s="12" t="s">
        <v>36</v>
      </c>
    </row>
    <row r="27" spans="3:22" ht="13.5">
      <c r="C27" s="12" t="s">
        <v>35</v>
      </c>
      <c r="D27" s="12">
        <f>D26*D25</f>
        <v>86164.2</v>
      </c>
      <c r="E27" s="12" t="s">
        <v>29</v>
      </c>
      <c r="U27" s="12">
        <v>1.5</v>
      </c>
      <c r="V27" s="12">
        <v>0.5</v>
      </c>
    </row>
    <row r="28" ht="13.5">
      <c r="W28" s="12" t="s">
        <v>137</v>
      </c>
    </row>
    <row r="29" spans="3:22" ht="13.5">
      <c r="C29" s="12" t="s">
        <v>37</v>
      </c>
      <c r="D29" s="3">
        <f>2*PI()/D27</f>
        <v>7.292106590880652E-05</v>
      </c>
      <c r="M29" s="12" t="s">
        <v>138</v>
      </c>
      <c r="O29" s="12" t="s">
        <v>138</v>
      </c>
      <c r="Q29" s="12" t="s">
        <v>38</v>
      </c>
      <c r="S29" s="12" t="s">
        <v>20</v>
      </c>
      <c r="U29" s="12" t="s">
        <v>139</v>
      </c>
      <c r="V29" s="12" t="s">
        <v>139</v>
      </c>
    </row>
    <row r="30" spans="8:24" ht="13.5">
      <c r="H30" s="12" t="s">
        <v>42</v>
      </c>
      <c r="J30" s="12" t="s">
        <v>140</v>
      </c>
      <c r="M30" s="12" t="s">
        <v>141</v>
      </c>
      <c r="O30" s="12" t="s">
        <v>141</v>
      </c>
      <c r="S30" s="12" t="s">
        <v>142</v>
      </c>
      <c r="X30" s="12" t="s">
        <v>143</v>
      </c>
    </row>
    <row r="31" spans="2:19" ht="13.5">
      <c r="B31" s="12" t="s">
        <v>46</v>
      </c>
      <c r="C31" s="12" t="s">
        <v>47</v>
      </c>
      <c r="D31" s="12" t="s">
        <v>48</v>
      </c>
      <c r="H31" s="12" t="s">
        <v>50</v>
      </c>
      <c r="J31" s="12" t="s">
        <v>51</v>
      </c>
      <c r="M31" s="12" t="s">
        <v>51</v>
      </c>
      <c r="O31" s="12" t="s">
        <v>51</v>
      </c>
      <c r="S31" s="12" t="s">
        <v>144</v>
      </c>
    </row>
    <row r="32" ht="13.5"/>
    <row r="33" spans="2:24" ht="13.5">
      <c r="B33" s="4">
        <f>$D$29</f>
        <v>7.292106590880652E-05</v>
      </c>
      <c r="C33" s="12">
        <v>0</v>
      </c>
      <c r="D33" s="3">
        <f>B33^2*H33*COS(C33*[0]!deg)</f>
        <v>0.033915431008382874</v>
      </c>
      <c r="E33" s="12" t="s">
        <v>13</v>
      </c>
      <c r="F33" s="9">
        <f>D33/J33</f>
        <v>0.0034613236764931216</v>
      </c>
      <c r="H33" s="12">
        <f>SQRT((([0]!a_^2*COS(C33*[0]!deg))^2+([0]!b_^2*SIN(C33*[0]!deg))^2)/(([0]!a_*COS(C33*[0]!deg))^2+([0]!b_*SIN(C33*[0]!deg))^2))</f>
        <v>6378100</v>
      </c>
      <c r="I33" s="12" t="s">
        <v>12</v>
      </c>
      <c r="J33" s="6">
        <f>$D$8/H33/H33</f>
        <v>9.798399161197391</v>
      </c>
      <c r="K33" s="6" t="s">
        <v>13</v>
      </c>
      <c r="L33" s="6">
        <f>J33/[0]!gstd</f>
        <v>0.9991586485902313</v>
      </c>
      <c r="M33" s="6">
        <f>J33-D33</f>
        <v>9.764483730189008</v>
      </c>
      <c r="N33" s="12" t="s">
        <v>13</v>
      </c>
      <c r="O33" s="6">
        <f>M33/[0]!gstd</f>
        <v>0.995700237103293</v>
      </c>
      <c r="P33" s="12" t="s">
        <v>54</v>
      </c>
      <c r="Q33" s="12">
        <f>[0]!gstd</f>
        <v>9.80665</v>
      </c>
      <c r="S33" s="3">
        <f>[0]!polar-D33</f>
        <v>9.797131562387456</v>
      </c>
      <c r="U33" s="6">
        <f>[0]!polar*([0]!b_/H33)^U$27</f>
        <v>9.78184118519223</v>
      </c>
      <c r="V33" s="6">
        <f>[0]!polar*([0]!b_/H33)^V$27</f>
        <v>9.814617616296653</v>
      </c>
      <c r="W33" s="6">
        <f>U33+D33</f>
        <v>9.815756616200613</v>
      </c>
      <c r="X33" s="12">
        <f>$J$14*(1+$K$14*SIN(C33*[0]!deg)^2+$L$14*SIN(C33*[0]!deg)^4)</f>
        <v>9.780327</v>
      </c>
    </row>
    <row r="34" spans="2:24" ht="13.5">
      <c r="B34" s="4">
        <f>$D$29</f>
        <v>7.292106590880652E-05</v>
      </c>
      <c r="C34" s="12">
        <f>C33+5</f>
        <v>5</v>
      </c>
      <c r="D34" s="3">
        <f>B34^2*H34*COS(C34*[0]!deg)</f>
        <v>0.03378552255587893</v>
      </c>
      <c r="F34" s="9">
        <f>D34/J34</f>
        <v>0.003447892055416712</v>
      </c>
      <c r="H34" s="12">
        <f>SQRT((([0]!a_^2*COS(C34*[0]!deg))^2+([0]!b_^2*SIN(C34*[0]!deg))^2)/(([0]!a_*COS(C34*[0]!deg))^2+([0]!b_*SIN(C34*[0]!deg))^2))</f>
        <v>6377939.53964547</v>
      </c>
      <c r="J34" s="6">
        <f>$D$8/H34/H34</f>
        <v>9.798892196407701</v>
      </c>
      <c r="K34" s="6"/>
      <c r="L34" s="6">
        <f>J34/[0]!gstd</f>
        <v>0.9992089241899835</v>
      </c>
      <c r="M34" s="6">
        <f>J34-D34</f>
        <v>9.765106673851822</v>
      </c>
      <c r="O34" s="6">
        <f>M34/[0]!gstd</f>
        <v>0.9957637596785673</v>
      </c>
      <c r="Q34" s="12">
        <f>[0]!gstd</f>
        <v>9.80665</v>
      </c>
      <c r="S34" s="3">
        <f>[0]!polar-D34</f>
        <v>9.79726147083996</v>
      </c>
      <c r="U34" s="6">
        <f>[0]!polar*([0]!b_/H34)^U$27</f>
        <v>9.782210334405775</v>
      </c>
      <c r="V34" s="6">
        <f>[0]!polar*([0]!b_/H34)^V$27</f>
        <v>9.814741076789442</v>
      </c>
      <c r="W34" s="6">
        <f>U34+D34</f>
        <v>9.815995856961655</v>
      </c>
      <c r="X34" s="12">
        <f>$J$14*(1+$K$14*SIN(C34*[0]!deg)^2+$L$14*SIN(C34*[0]!deg)^4)</f>
        <v>9.780710602439767</v>
      </c>
    </row>
    <row r="35" spans="2:24" ht="13.5">
      <c r="B35" s="4">
        <f>$D$29</f>
        <v>7.292106590880652E-05</v>
      </c>
      <c r="C35" s="12">
        <f>C34+5</f>
        <v>10</v>
      </c>
      <c r="D35" s="3">
        <f>B35^2*H35*COS(C35*[0]!deg)</f>
        <v>0.03339684317962769</v>
      </c>
      <c r="F35" s="9">
        <f>D35/J35</f>
        <v>0.0034077170343494796</v>
      </c>
      <c r="H35" s="12">
        <f>SQRT((([0]!a_^2*COS(C35*[0]!deg))^2+([0]!b_^2*SIN(C35*[0]!deg))^2)/(([0]!a_*COS(C35*[0]!deg))^2+([0]!b_*SIN(C35*[0]!deg))^2))</f>
        <v>6377462.914456984</v>
      </c>
      <c r="J35" s="6">
        <f>$D$8/H35/H35</f>
        <v>9.80035690844942</v>
      </c>
      <c r="K35" s="6"/>
      <c r="L35" s="6">
        <f>J35/[0]!gstd</f>
        <v>0.9993582832516119</v>
      </c>
      <c r="M35" s="6">
        <f>J35-D35</f>
        <v>9.766960065269792</v>
      </c>
      <c r="O35" s="6">
        <f>M35/[0]!gstd</f>
        <v>0.9959527530063572</v>
      </c>
      <c r="Q35" s="12">
        <f>[0]!gstd</f>
        <v>9.80665</v>
      </c>
      <c r="S35" s="3">
        <f>[0]!polar-D35</f>
        <v>9.797650150216212</v>
      </c>
      <c r="U35" s="6">
        <f>[0]!polar*([0]!b_/H35)^U$27</f>
        <v>9.783306977777656</v>
      </c>
      <c r="V35" s="6">
        <f>[0]!polar*([0]!b_/H35)^V$27</f>
        <v>9.815107826504727</v>
      </c>
      <c r="W35" s="6">
        <f>U35+D35</f>
        <v>9.816703820957283</v>
      </c>
      <c r="X35" s="12">
        <f>$J$14*(1+$K$14*SIN(C35*[0]!deg)^2+$L$14*SIN(C35*[0]!deg)^4)</f>
        <v>9.781849905138682</v>
      </c>
    </row>
    <row r="36" spans="2:24" ht="13.5">
      <c r="B36" s="4">
        <f>$D$29</f>
        <v>7.292106590880652E-05</v>
      </c>
      <c r="C36" s="12">
        <f>C35+5</f>
        <v>15</v>
      </c>
      <c r="D36" s="3">
        <f>B36^2*H36*COS(C36*[0]!deg)</f>
        <v>0.0327525190742413</v>
      </c>
      <c r="F36" s="9">
        <f>D36/J36</f>
        <v>0.003341156048510414</v>
      </c>
      <c r="H36" s="12">
        <f>SQRT((([0]!a_^2*COS(C36*[0]!deg))^2+([0]!b_^2*SIN(C36*[0]!deg))^2)/(([0]!a_*COS(C36*[0]!deg))^2+([0]!b_*SIN(C36*[0]!deg))^2))</f>
        <v>6376684.261761174</v>
      </c>
      <c r="J36" s="6">
        <f>$D$8/H36/H36</f>
        <v>9.802750484774077</v>
      </c>
      <c r="K36" s="6"/>
      <c r="L36" s="6">
        <f>J36/[0]!gstd</f>
        <v>0.9996023601101373</v>
      </c>
      <c r="M36" s="6">
        <f>J36-D36</f>
        <v>9.769997965699835</v>
      </c>
      <c r="O36" s="6">
        <f>M36/[0]!gstd</f>
        <v>0.9962625326385499</v>
      </c>
      <c r="Q36" s="12">
        <f>[0]!gstd</f>
        <v>9.80665</v>
      </c>
      <c r="S36" s="3">
        <f>[0]!polar-D36</f>
        <v>9.798294474321597</v>
      </c>
      <c r="U36" s="6">
        <f>[0]!polar*([0]!b_/H36)^U$27</f>
        <v>9.78509898219229</v>
      </c>
      <c r="V36" s="6">
        <f>[0]!polar*([0]!b_/H36)^V$27</f>
        <v>9.815707066373152</v>
      </c>
      <c r="W36" s="6">
        <f>U36+D36</f>
        <v>9.817851501266531</v>
      </c>
      <c r="X36" s="12">
        <f>$J$14*(1+$K$14*SIN(C36*[0]!deg)^2+$L$14*SIN(C36*[0]!deg)^4)</f>
        <v>9.783710725591405</v>
      </c>
    </row>
    <row r="37" spans="2:24" ht="13.5">
      <c r="B37" s="4">
        <f>$D$29</f>
        <v>7.292106590880652E-05</v>
      </c>
      <c r="C37" s="12">
        <f>C36+5</f>
        <v>20</v>
      </c>
      <c r="D37" s="3">
        <f>B37^2*H37*COS(C37*[0]!deg)</f>
        <v>0.03185772172640925</v>
      </c>
      <c r="F37" s="9">
        <f>D37/J37</f>
        <v>0.0032487979446507247</v>
      </c>
      <c r="H37" s="12">
        <f>SQRT((([0]!a_^2*COS(C37*[0]!deg))^2+([0]!b_^2*SIN(C37*[0]!deg))^2)/(([0]!a_*COS(C37*[0]!deg))^2+([0]!b_*SIN(C37*[0]!deg))^2))</f>
        <v>6375626.711744751</v>
      </c>
      <c r="J37" s="6">
        <f>$D$8/H37/H37</f>
        <v>9.80600279523824</v>
      </c>
      <c r="K37" s="6"/>
      <c r="L37" s="6">
        <f>J37/[0]!gstd</f>
        <v>0.9999340034811317</v>
      </c>
      <c r="M37" s="6">
        <f>J37-D37</f>
        <v>9.77414507351183</v>
      </c>
      <c r="O37" s="6">
        <f>M37/[0]!gstd</f>
        <v>0.9966854199458358</v>
      </c>
      <c r="Q37" s="12">
        <f>[0]!gstd</f>
        <v>9.80665</v>
      </c>
      <c r="S37" s="3">
        <f>[0]!polar-D37</f>
        <v>9.79918927166943</v>
      </c>
      <c r="U37" s="6">
        <f>[0]!polar*([0]!b_/H37)^U$27</f>
        <v>9.787533721827474</v>
      </c>
      <c r="V37" s="6">
        <f>[0]!polar*([0]!b_/H37)^V$27</f>
        <v>9.816521117383866</v>
      </c>
      <c r="W37" s="6">
        <f>U37+D37</f>
        <v>9.819391443553883</v>
      </c>
      <c r="X37" s="12">
        <f>$J$14*(1+$K$14*SIN(C37*[0]!deg)^2+$L$14*SIN(C37*[0]!deg)^4)</f>
        <v>9.786237189602875</v>
      </c>
    </row>
    <row r="38" spans="2:24" ht="13.5">
      <c r="B38" s="4">
        <f>$D$29</f>
        <v>7.292106590880652E-05</v>
      </c>
      <c r="C38" s="12">
        <f>C37+5</f>
        <v>25</v>
      </c>
      <c r="D38" s="3">
        <f>B38^2*H38*COS(C38*[0]!deg)</f>
        <v>0.030719610785460705</v>
      </c>
      <c r="F38" s="9">
        <f>D38/J38</f>
        <v>0.0031314529809304006</v>
      </c>
      <c r="H38" s="12">
        <f>SQRT((([0]!a_^2*COS(C38*[0]!deg))^2+([0]!b_^2*SIN(C38*[0]!deg))^2)/(([0]!a_*COS(C38*[0]!deg))^2+([0]!b_*SIN(C38*[0]!deg))^2))</f>
        <v>6374321.747598227</v>
      </c>
      <c r="J38" s="6">
        <f>$D$8/H38/H38</f>
        <v>9.810018215995521</v>
      </c>
      <c r="K38" s="6"/>
      <c r="L38" s="6">
        <f>J38/[0]!gstd</f>
        <v>1.0003434624459446</v>
      </c>
      <c r="M38" s="6">
        <f>J38-D38</f>
        <v>9.77929860521006</v>
      </c>
      <c r="O38" s="6">
        <f>M38/[0]!gstd</f>
        <v>0.9972109339285139</v>
      </c>
      <c r="Q38" s="12">
        <f>[0]!gstd</f>
        <v>9.80665</v>
      </c>
      <c r="S38" s="3">
        <f>[0]!polar-D38</f>
        <v>9.800327382610378</v>
      </c>
      <c r="U38" s="6">
        <f>[0]!polar*([0]!b_/H38)^U$27</f>
        <v>9.790539461442675</v>
      </c>
      <c r="V38" s="6">
        <f>[0]!polar*([0]!b_/H38)^V$27</f>
        <v>9.81752589507184</v>
      </c>
      <c r="W38" s="6">
        <f>U38+D38</f>
        <v>9.821259072228136</v>
      </c>
      <c r="X38" s="12">
        <f>$J$14*(1+$K$14*SIN(C38*[0]!deg)^2+$L$14*SIN(C38*[0]!deg)^4)</f>
        <v>9.789353348680985</v>
      </c>
    </row>
    <row r="39" spans="2:24" ht="13.5">
      <c r="B39" s="4">
        <f>$D$29</f>
        <v>7.292106590880652E-05</v>
      </c>
      <c r="C39" s="12">
        <f>C38+5</f>
        <v>30</v>
      </c>
      <c r="D39" s="3">
        <f>B39^2*H39*COS(C39*[0]!deg)</f>
        <v>0.029347256283399258</v>
      </c>
      <c r="F39" s="9">
        <f>D39/J39</f>
        <v>0.002990139443939555</v>
      </c>
      <c r="H39" s="12">
        <f>SQRT((([0]!a_^2*COS(C39*[0]!deg))^2+([0]!b_^2*SIN(C39*[0]!deg))^2)/(([0]!a_*COS(C39*[0]!deg))^2+([0]!b_*SIN(C39*[0]!deg))^2))</f>
        <v>6372808.326466495</v>
      </c>
      <c r="J39" s="6">
        <f>$D$8/H39/H39</f>
        <v>9.81467815585677</v>
      </c>
      <c r="K39" s="6"/>
      <c r="L39" s="6">
        <f>J39/[0]!gstd</f>
        <v>1.0008186440687463</v>
      </c>
      <c r="M39" s="6">
        <f>J39-D39</f>
        <v>9.78533089957337</v>
      </c>
      <c r="O39" s="6">
        <f>M39/[0]!gstd</f>
        <v>0.9978260567648862</v>
      </c>
      <c r="Q39" s="12">
        <f>[0]!gstd</f>
        <v>9.80665</v>
      </c>
      <c r="S39" s="3">
        <f>[0]!polar-D39</f>
        <v>9.80169973711244</v>
      </c>
      <c r="U39" s="6">
        <f>[0]!polar*([0]!b_/H39)^U$27</f>
        <v>9.794027269694464</v>
      </c>
      <c r="V39" s="6">
        <f>[0]!polar*([0]!b_/H39)^V$27</f>
        <v>9.818691563986407</v>
      </c>
      <c r="W39" s="6">
        <f>U39+D39</f>
        <v>9.823374525977863</v>
      </c>
      <c r="X39" s="12">
        <f>$J$14*(1+$K$14*SIN(C39*[0]!deg)^2+$L$14*SIN(C39*[0]!deg)^4)</f>
        <v>9.79296538917028</v>
      </c>
    </row>
    <row r="40" spans="2:24" ht="13.5">
      <c r="B40" s="4">
        <f>$D$29</f>
        <v>7.292106590880652E-05</v>
      </c>
      <c r="C40" s="12">
        <f>C39+5</f>
        <v>35</v>
      </c>
      <c r="D40" s="3">
        <f>B40^2*H40*COS(C40*[0]!deg)</f>
        <v>0.027751542283409307</v>
      </c>
      <c r="F40" s="9">
        <f>D40/J40</f>
        <v>0.0028260674579065896</v>
      </c>
      <c r="H40" s="12">
        <f>SQRT((([0]!a_^2*COS(C40*[0]!deg))^2+([0]!b_^2*SIN(C40*[0]!deg))^2)/(([0]!a_*COS(C40*[0]!deg))^2+([0]!b_*SIN(C40*[0]!deg))^2))</f>
        <v>6371131.778785502</v>
      </c>
      <c r="J40" s="6">
        <f>$D$8/H40/H40</f>
        <v>9.819844252396676</v>
      </c>
      <c r="K40" s="6"/>
      <c r="L40" s="6">
        <f>J40/[0]!gstd</f>
        <v>1.0013454393087013</v>
      </c>
      <c r="M40" s="6">
        <f>J40-D40</f>
        <v>9.792092710113266</v>
      </c>
      <c r="O40" s="6">
        <f>M40/[0]!gstd</f>
        <v>0.9985155695485478</v>
      </c>
      <c r="Q40" s="12">
        <f>[0]!gstd</f>
        <v>9.80665</v>
      </c>
      <c r="S40" s="3">
        <f>[0]!polar-D40</f>
        <v>9.80329545111243</v>
      </c>
      <c r="U40" s="6">
        <f>[0]!polar*([0]!b_/H40)^U$27</f>
        <v>9.797893435344502</v>
      </c>
      <c r="V40" s="6">
        <f>[0]!polar*([0]!b_/H40)^V$27</f>
        <v>9.81998336129455</v>
      </c>
      <c r="W40" s="6">
        <f>U40+D40</f>
        <v>9.825644977627912</v>
      </c>
      <c r="X40" s="12">
        <f>$J$14*(1+$K$14*SIN(C40*[0]!deg)^2+$L$14*SIN(C40*[0]!deg)^4)</f>
        <v>9.796964377886697</v>
      </c>
    </row>
    <row r="41" spans="2:24" ht="13.5">
      <c r="B41" s="4">
        <f>$D$29</f>
        <v>7.292106590880652E-05</v>
      </c>
      <c r="C41" s="12">
        <f>C40+5</f>
        <v>40</v>
      </c>
      <c r="D41" s="3">
        <f>B41^2*H41*COS(C41*[0]!deg)</f>
        <v>0.025945054458385058</v>
      </c>
      <c r="F41" s="9">
        <f>D41/J41</f>
        <v>0.0026406206672585594</v>
      </c>
      <c r="H41" s="12">
        <f>SQRT((([0]!a_^2*COS(C41*[0]!deg))^2+([0]!b_^2*SIN(C41*[0]!deg))^2)/(([0]!a_*COS(C41*[0]!deg))^2+([0]!b_*SIN(C41*[0]!deg))^2))</f>
        <v>6369342.509599654</v>
      </c>
      <c r="J41" s="6">
        <f>$D$8/H41/H41</f>
        <v>9.825362188549674</v>
      </c>
      <c r="K41" s="6"/>
      <c r="L41" s="6">
        <f>J41/[0]!gstd</f>
        <v>1.0019081122044402</v>
      </c>
      <c r="M41" s="6">
        <f>J41-D41</f>
        <v>9.79941713409129</v>
      </c>
      <c r="O41" s="6">
        <f>M41/[0]!gstd</f>
        <v>0.9992624529366593</v>
      </c>
      <c r="Q41" s="12">
        <f>[0]!gstd</f>
        <v>9.80665</v>
      </c>
      <c r="S41" s="3">
        <f>[0]!polar-D41</f>
        <v>9.805101938937455</v>
      </c>
      <c r="U41" s="6">
        <f>[0]!polar*([0]!b_/H41)^U$27</f>
        <v>9.802022346592835</v>
      </c>
      <c r="V41" s="6">
        <f>[0]!polar*([0]!b_/H41)^V$27</f>
        <v>9.821362574282581</v>
      </c>
      <c r="W41" s="6">
        <f>U41+D41</f>
        <v>9.82796740105122</v>
      </c>
      <c r="X41" s="12">
        <f>$J$14*(1+$K$14*SIN(C41*[0]!deg)^2+$L$14*SIN(C41*[0]!deg)^4)</f>
        <v>9.801229473474457</v>
      </c>
    </row>
    <row r="42" spans="2:24" ht="13.5">
      <c r="B42" s="4">
        <f>$D$29</f>
        <v>7.292106590880652E-05</v>
      </c>
      <c r="C42" s="12">
        <f>C41+5</f>
        <v>45</v>
      </c>
      <c r="D42" s="3">
        <f>B42^2*H42*COS(C42*[0]!deg)</f>
        <v>0.02394195440141307</v>
      </c>
      <c r="F42" s="9">
        <f>D42/J42</f>
        <v>0.0024353365398398466</v>
      </c>
      <c r="H42" s="12">
        <f>SQRT((([0]!a_^2*COS(C42*[0]!deg))^2+([0]!b_^2*SIN(C42*[0]!deg))^2)/(([0]!a_*COS(C42*[0]!deg))^2+([0]!b_*SIN(C42*[0]!deg))^2))</f>
        <v>6367494.53189642</v>
      </c>
      <c r="J42" s="6">
        <f>$D$8/H42/H42</f>
        <v>9.83106605996539</v>
      </c>
      <c r="K42" s="6"/>
      <c r="L42" s="6">
        <f>J42/[0]!gstd</f>
        <v>1.0024897452203752</v>
      </c>
      <c r="M42" s="6">
        <f>J42-D42</f>
        <v>9.807124105563977</v>
      </c>
      <c r="O42" s="6">
        <f>M42/[0]!gstd</f>
        <v>1.0000483453130251</v>
      </c>
      <c r="Q42" s="12">
        <f>[0]!gstd</f>
        <v>9.80665</v>
      </c>
      <c r="S42" s="3">
        <f>[0]!polar-D42</f>
        <v>9.807105038994425</v>
      </c>
      <c r="U42" s="6">
        <f>[0]!polar*([0]!b_/H42)^U$27</f>
        <v>9.806289778511298</v>
      </c>
      <c r="V42" s="6">
        <f>[0]!polar*([0]!b_/H42)^V$27</f>
        <v>9.822787651469676</v>
      </c>
      <c r="W42" s="6">
        <f>U42+D42</f>
        <v>9.830231732912711</v>
      </c>
      <c r="X42" s="12">
        <f>$J$14*(1+$K$14*SIN(C42*[0]!deg)^2+$L$14*SIN(C42*[0]!deg)^4)</f>
        <v>9.805631517793012</v>
      </c>
    </row>
    <row r="43" spans="2:24" ht="13.5">
      <c r="B43" s="4">
        <f>$D$29</f>
        <v>7.292106590880652E-05</v>
      </c>
      <c r="C43" s="12">
        <f>C42+5</f>
        <v>50</v>
      </c>
      <c r="D43" s="3">
        <f>B43^2*H43*COS(C43*[0]!deg)</f>
        <v>0.0217578436297646</v>
      </c>
      <c r="F43" s="9">
        <f>D43/J43</f>
        <v>0.002211886059524035</v>
      </c>
      <c r="H43" s="12">
        <f>SQRT((([0]!a_^2*COS(C43*[0]!deg))^2+([0]!b_^2*SIN(C43*[0]!deg))^2)/(([0]!a_*COS(C43*[0]!deg))^2+([0]!b_*SIN(C43*[0]!deg))^2))</f>
        <v>6365643.868642592</v>
      </c>
      <c r="J43" s="6">
        <f>$D$8/H43/H43</f>
        <v>9.836783199604126</v>
      </c>
      <c r="K43" s="6"/>
      <c r="L43" s="6">
        <f>J43/[0]!gstd</f>
        <v>1.0030727312185228</v>
      </c>
      <c r="M43" s="6">
        <f>J43-D43</f>
        <v>9.815025355974361</v>
      </c>
      <c r="O43" s="6">
        <f>M43/[0]!gstd</f>
        <v>1.0008540486276518</v>
      </c>
      <c r="Q43" s="12">
        <f>[0]!gstd</f>
        <v>9.80665</v>
      </c>
      <c r="S43" s="3">
        <f>[0]!polar-D43</f>
        <v>9.809289149766075</v>
      </c>
      <c r="U43" s="6">
        <f>[0]!polar*([0]!b_/H43)^U$27</f>
        <v>9.810566516143286</v>
      </c>
      <c r="V43" s="6">
        <f>[0]!polar*([0]!b_/H43)^V$27</f>
        <v>9.82421542150104</v>
      </c>
      <c r="W43" s="6">
        <f>U43+D43</f>
        <v>9.83232435977305</v>
      </c>
      <c r="X43" s="12">
        <f>$J$14*(1+$K$14*SIN(C43*[0]!deg)^2+$L$14*SIN(C43*[0]!deg)^4)</f>
        <v>9.810036907898922</v>
      </c>
    </row>
    <row r="44" spans="2:24" ht="13.5">
      <c r="B44" s="4">
        <f>$D$29</f>
        <v>7.292106590880652E-05</v>
      </c>
      <c r="C44" s="12">
        <f>C43+5</f>
        <v>55</v>
      </c>
      <c r="D44" s="3">
        <f>B44^2*H44*COS(C44*[0]!deg)</f>
        <v>0.019409620250943525</v>
      </c>
      <c r="F44" s="9">
        <f>D44/J44</f>
        <v>0.0019720535514868736</v>
      </c>
      <c r="H44" s="12">
        <f>SQRT((([0]!a_^2*COS(C44*[0]!deg))^2+([0]!b_^2*SIN(C44*[0]!deg))^2)/(([0]!a_*COS(C44*[0]!deg))^2+([0]!b_*SIN(C44*[0]!deg))^2))</f>
        <v>6363846.86670415</v>
      </c>
      <c r="J44" s="6">
        <f>$D$8/H44/H44</f>
        <v>9.842339340282727</v>
      </c>
      <c r="K44" s="6"/>
      <c r="L44" s="6">
        <f>J44/[0]!gstd</f>
        <v>1.0036392998916783</v>
      </c>
      <c r="M44" s="6">
        <f>J44-D44</f>
        <v>9.822929720031784</v>
      </c>
      <c r="O44" s="6">
        <f>M44/[0]!gstd</f>
        <v>1.0016600694459152</v>
      </c>
      <c r="Q44" s="12">
        <f>[0]!gstd</f>
        <v>9.80665</v>
      </c>
      <c r="S44" s="3">
        <f>[0]!polar-D44</f>
        <v>9.811637373144896</v>
      </c>
      <c r="U44" s="6">
        <f>[0]!polar*([0]!b_/H44)^U$27</f>
        <v>9.814722222252716</v>
      </c>
      <c r="V44" s="6">
        <f>[0]!polar*([0]!b_/H44)^V$27</f>
        <v>9.825602388254238</v>
      </c>
      <c r="W44" s="6">
        <f>U44+D44</f>
        <v>9.834131842503659</v>
      </c>
      <c r="X44" s="12">
        <f>$J$14*(1+$K$14*SIN(C44*[0]!deg)^2+$L$14*SIN(C44*[0]!deg)^4)</f>
        <v>9.814311637297418</v>
      </c>
    </row>
    <row r="45" spans="2:24" ht="13.5">
      <c r="B45" s="4">
        <f>$D$29</f>
        <v>7.292106590880652E-05</v>
      </c>
      <c r="C45" s="12">
        <f>C44+5</f>
        <v>60</v>
      </c>
      <c r="D45" s="3">
        <f>B45^2*H45*COS(C45*[0]!deg)</f>
        <v>0.016915331110486966</v>
      </c>
      <c r="F45" s="9">
        <f>D45/J45</f>
        <v>0.0017177173117939814</v>
      </c>
      <c r="H45" s="12">
        <f>SQRT((([0]!a_^2*COS(C45*[0]!deg))^2+([0]!b_^2*SIN(C45*[0]!deg))^2)/(([0]!a_*COS(C45*[0]!deg))^2+([0]!b_*SIN(C45*[0]!deg))^2))</f>
        <v>6362158.471707484</v>
      </c>
      <c r="J45" s="6">
        <f>$D$8/H45/H45</f>
        <v>9.847563970127668</v>
      </c>
      <c r="K45" s="6"/>
      <c r="L45" s="6">
        <f>J45/[0]!gstd</f>
        <v>1.004172063867648</v>
      </c>
      <c r="M45" s="6">
        <f>J45-D45</f>
        <v>9.83064863901718</v>
      </c>
      <c r="O45" s="6">
        <f>M45/[0]!gstd</f>
        <v>1.0024471801295225</v>
      </c>
      <c r="Q45" s="12">
        <f>[0]!gstd</f>
        <v>9.80665</v>
      </c>
      <c r="S45" s="3">
        <f>[0]!polar-D45</f>
        <v>9.814131662285352</v>
      </c>
      <c r="U45" s="6">
        <f>[0]!polar*([0]!b_/H45)^U$27</f>
        <v>9.818629440376984</v>
      </c>
      <c r="V45" s="6">
        <f>[0]!polar*([0]!b_/H45)^V$27</f>
        <v>9.826906065103659</v>
      </c>
      <c r="W45" s="6">
        <f>U45+D45</f>
        <v>9.835544771487472</v>
      </c>
      <c r="X45" s="12">
        <f>$J$14*(1+$K$14*SIN(C45*[0]!deg)^2+$L$14*SIN(C45*[0]!deg)^4)</f>
        <v>9.8183253858682</v>
      </c>
    </row>
    <row r="46" spans="2:24" ht="13.5">
      <c r="B46" s="4">
        <f>$D$29</f>
        <v>7.292106590880652E-05</v>
      </c>
      <c r="C46" s="12">
        <f>C45+5</f>
        <v>65</v>
      </c>
      <c r="D46" s="3">
        <f>B46^2*H46*COS(C46*[0]!deg)</f>
        <v>0.014294021943687793</v>
      </c>
      <c r="F46" s="9">
        <f>D46/J46</f>
        <v>0.0014508315991071303</v>
      </c>
      <c r="H46" s="12">
        <f>SQRT((([0]!a_^2*COS(C46*[0]!deg))^2+([0]!b_^2*SIN(C46*[0]!deg))^2)/(([0]!a_*COS(C46*[0]!deg))^2+([0]!b_*SIN(C46*[0]!deg))^2))</f>
        <v>6360630.517606746</v>
      </c>
      <c r="J46" s="6">
        <f>$D$8/H46/H46</f>
        <v>9.852295712668933</v>
      </c>
      <c r="K46" s="6"/>
      <c r="L46" s="6">
        <f>J46/[0]!gstd</f>
        <v>1.0046545673261444</v>
      </c>
      <c r="M46" s="6">
        <f>J46-D46</f>
        <v>9.838001690725246</v>
      </c>
      <c r="O46" s="6">
        <f>M46/[0]!gstd</f>
        <v>1.0031969827336804</v>
      </c>
      <c r="Q46" s="12">
        <f>[0]!gstd</f>
        <v>9.80665</v>
      </c>
      <c r="S46" s="3">
        <f>[0]!polar-D46</f>
        <v>9.816752971452152</v>
      </c>
      <c r="U46" s="6">
        <f>[0]!polar*([0]!b_/H46)^U$27</f>
        <v>9.822167607547247</v>
      </c>
      <c r="V46" s="6">
        <f>[0]!polar*([0]!b_/H46)^V$27</f>
        <v>9.82808630657146</v>
      </c>
      <c r="W46" s="6">
        <f>U46+D46</f>
        <v>9.836461629490934</v>
      </c>
      <c r="X46" s="12">
        <f>$J$14*(1+$K$14*SIN(C46*[0]!deg)^2+$L$14*SIN(C46*[0]!deg)^4)</f>
        <v>9.821955531999214</v>
      </c>
    </row>
    <row r="47" spans="2:24" ht="13.5">
      <c r="B47" s="4">
        <f>$D$29</f>
        <v>7.292106590880652E-05</v>
      </c>
      <c r="C47" s="12">
        <f>C46+5</f>
        <v>70</v>
      </c>
      <c r="D47" s="3">
        <f>B47^2*H47*COS(C47*[0]!deg)</f>
        <v>0.0115655876257624</v>
      </c>
      <c r="F47" s="9">
        <f>D47/J47</f>
        <v>0.0011734103973181133</v>
      </c>
      <c r="H47" s="12">
        <f>SQRT((([0]!a_^2*COS(C47*[0]!deg))^2+([0]!b_^2*SIN(C47*[0]!deg))^2)/(([0]!a_*COS(C47*[0]!deg))^2+([0]!b_*SIN(C47*[0]!deg))^2))</f>
        <v>6359310.087694901</v>
      </c>
      <c r="J47" s="6">
        <f>$D$8/H47/H47</f>
        <v>9.856387545394277</v>
      </c>
      <c r="K47" s="6"/>
      <c r="L47" s="6">
        <f>J47/[0]!gstd</f>
        <v>1.005071818143227</v>
      </c>
      <c r="M47" s="6">
        <f>J47-D47</f>
        <v>9.844821957768515</v>
      </c>
      <c r="O47" s="6">
        <f>M47/[0]!gstd</f>
        <v>1.0038924564217664</v>
      </c>
      <c r="Q47" s="12">
        <f>[0]!gstd</f>
        <v>9.80665</v>
      </c>
      <c r="S47" s="3">
        <f>[0]!polar-D47</f>
        <v>9.819481405770077</v>
      </c>
      <c r="U47" s="6">
        <f>[0]!polar*([0]!b_/H47)^U$27</f>
        <v>9.82522693873486</v>
      </c>
      <c r="V47" s="6">
        <f>[0]!polar*([0]!b_/H47)^V$27</f>
        <v>9.829106592214366</v>
      </c>
      <c r="W47" s="6">
        <f>U47+D47</f>
        <v>9.836792526360622</v>
      </c>
      <c r="X47" s="12">
        <f>$J$14*(1+$K$14*SIN(C47*[0]!deg)^2+$L$14*SIN(C47*[0]!deg)^4)</f>
        <v>9.825090958698791</v>
      </c>
    </row>
    <row r="48" spans="2:24" ht="13.5">
      <c r="B48" s="4">
        <f>$D$29</f>
        <v>7.292106590880652E-05</v>
      </c>
      <c r="C48" s="12">
        <f>C47+5</f>
        <v>75</v>
      </c>
      <c r="D48" s="3">
        <f>B48^2*H48*COS(C48*[0]!deg)</f>
        <v>0.008750624087182962</v>
      </c>
      <c r="F48" s="9">
        <f>D48/J48</f>
        <v>0.0008875131837839771</v>
      </c>
      <c r="H48" s="12">
        <f>SQRT((([0]!a_^2*COS(C48*[0]!deg))^2+([0]!b_^2*SIN(C48*[0]!deg))^2)/(([0]!a_*COS(C48*[0]!deg))^2+([0]!b_*SIN(C48*[0]!deg))^2))</f>
        <v>6358238.004516389</v>
      </c>
      <c r="J48" s="6">
        <f>$D$8/H48/H48</f>
        <v>9.859711660703494</v>
      </c>
      <c r="K48" s="6"/>
      <c r="L48" s="6">
        <f>J48/[0]!gstd</f>
        <v>1.0054107835706887</v>
      </c>
      <c r="M48" s="6">
        <f>J48-D48</f>
        <v>9.850961036616312</v>
      </c>
      <c r="O48" s="6">
        <f>M48/[0]!gstd</f>
        <v>1.0045184682451511</v>
      </c>
      <c r="Q48" s="12">
        <f>[0]!gstd</f>
        <v>9.80665</v>
      </c>
      <c r="S48" s="3">
        <f>[0]!polar-D48</f>
        <v>9.822296369308656</v>
      </c>
      <c r="U48" s="6">
        <f>[0]!polar*([0]!b_/H48)^U$27</f>
        <v>9.827712038661845</v>
      </c>
      <c r="V48" s="6">
        <f>[0]!polar*([0]!b_/H48)^V$27</f>
        <v>9.829935216093473</v>
      </c>
      <c r="W48" s="6">
        <f>U48+D48</f>
        <v>9.836462662749028</v>
      </c>
      <c r="X48" s="12">
        <f>$J$14*(1+$K$14*SIN(C48*[0]!deg)^2+$L$14*SIN(C48*[0]!deg)^4)</f>
        <v>9.82763552835198</v>
      </c>
    </row>
    <row r="49" spans="2:24" ht="13.5">
      <c r="B49" s="4">
        <f>$D$29</f>
        <v>7.292106590880652E-05</v>
      </c>
      <c r="C49" s="12">
        <f>C48+5</f>
        <v>80</v>
      </c>
      <c r="D49" s="3">
        <f>B49^2*H49*COS(C49*[0]!deg)</f>
        <v>0.005870282873009342</v>
      </c>
      <c r="F49" s="9">
        <f>D49/J49</f>
        <v>0.0005952327509195891</v>
      </c>
      <c r="H49" s="12">
        <f>SQRT((([0]!a_^2*COS(C49*[0]!deg))^2+([0]!b_^2*SIN(C49*[0]!deg))^2)/(([0]!a_*COS(C49*[0]!deg))^2+([0]!b_*SIN(C49*[0]!deg))^2))</f>
        <v>6357447.504209083</v>
      </c>
      <c r="J49" s="6">
        <f>$D$8/H49/H49</f>
        <v>9.862163773650229</v>
      </c>
      <c r="K49" s="6"/>
      <c r="L49" s="6">
        <f>J49/[0]!gstd</f>
        <v>1.0056608295034726</v>
      </c>
      <c r="M49" s="6">
        <f>J49-D49</f>
        <v>9.856293490777219</v>
      </c>
      <c r="O49" s="6">
        <f>M49/[0]!gstd</f>
        <v>1.0050622272414351</v>
      </c>
      <c r="Q49" s="12">
        <f>[0]!gstd</f>
        <v>9.80665</v>
      </c>
      <c r="S49" s="3">
        <f>[0]!polar-D49</f>
        <v>9.825176710522829</v>
      </c>
      <c r="U49" s="6">
        <f>[0]!polar*([0]!b_/H49)^U$27</f>
        <v>9.829545097654776</v>
      </c>
      <c r="V49" s="6">
        <f>[0]!polar*([0]!b_/H49)^V$27</f>
        <v>9.830546335986028</v>
      </c>
      <c r="W49" s="6">
        <f>U49+D49</f>
        <v>9.835415380527786</v>
      </c>
      <c r="X49" s="12">
        <f>$J$14*(1+$K$14*SIN(C49*[0]!deg)^2+$L$14*SIN(C49*[0]!deg)^4)</f>
        <v>9.829511108659064</v>
      </c>
    </row>
    <row r="50" spans="2:24" ht="13.5">
      <c r="B50" s="4">
        <f>$D$29</f>
        <v>7.292106590880652E-05</v>
      </c>
      <c r="C50" s="12">
        <f>C49+5</f>
        <v>85</v>
      </c>
      <c r="D50" s="3">
        <f>B50^2*H50*COS(C50*[0]!deg)</f>
        <v>0.0029461287245958916</v>
      </c>
      <c r="F50" s="9">
        <f>D50/J50</f>
        <v>0.00029868494305941183</v>
      </c>
      <c r="H50" s="12">
        <f>SQRT((([0]!a_^2*COS(C50*[0]!deg))^2+([0]!b_^2*SIN(C50*[0]!deg))^2)/(([0]!a_*COS(C50*[0]!deg))^2+([0]!b_*SIN(C50*[0]!deg))^2))</f>
        <v>6356963.146007865</v>
      </c>
      <c r="J50" s="6">
        <f>$D$8/H50/H50</f>
        <v>9.863666693134489</v>
      </c>
      <c r="K50" s="6"/>
      <c r="L50" s="6">
        <f>J50/[0]!gstd</f>
        <v>1.0058140846399626</v>
      </c>
      <c r="M50" s="6">
        <f>J50-D50</f>
        <v>9.860720564409894</v>
      </c>
      <c r="O50" s="6">
        <f>M50/[0]!gstd</f>
        <v>1.0055136631173636</v>
      </c>
      <c r="Q50" s="12">
        <f>[0]!gstd</f>
        <v>9.80665</v>
      </c>
      <c r="S50" s="3">
        <f>[0]!polar-D50</f>
        <v>9.828100864671244</v>
      </c>
      <c r="U50" s="6">
        <f>[0]!polar*([0]!b_/H50)^U$27</f>
        <v>9.830668537738028</v>
      </c>
      <c r="V50" s="6">
        <f>[0]!polar*([0]!b_/H50)^V$27</f>
        <v>9.830920839891089</v>
      </c>
      <c r="W50" s="6">
        <f>U50+D50</f>
        <v>9.833614666462623</v>
      </c>
      <c r="X50" s="12">
        <f>$J$14*(1+$K$14*SIN(C50*[0]!deg)^2+$L$14*SIN(C50*[0]!deg)^4)</f>
        <v>9.830660045168717</v>
      </c>
    </row>
    <row r="51" spans="2:24" ht="13.5">
      <c r="B51" s="4">
        <f>$D$29</f>
        <v>7.292106590880652E-05</v>
      </c>
      <c r="C51" s="12">
        <f>C50+5</f>
        <v>90</v>
      </c>
      <c r="D51" s="3">
        <f>B51^2*H51*COS(C51*[0]!deg)</f>
        <v>2.0697858817612853E-18</v>
      </c>
      <c r="F51" s="9">
        <f>D51/J51</f>
        <v>2.0982862752303026E-19</v>
      </c>
      <c r="H51" s="12">
        <f>SQRT((([0]!a_^2*COS(C51*[0]!deg))^2+([0]!b_^2*SIN(C51*[0]!deg))^2)/(([0]!a_*COS(C51*[0]!deg))^2+([0]!b_*SIN(C51*[0]!deg))^2))</f>
        <v>6356800</v>
      </c>
      <c r="J51" s="6">
        <f>$D$8/H51/H51</f>
        <v>9.864172997719821</v>
      </c>
      <c r="K51" s="6"/>
      <c r="L51" s="6">
        <f>J51/[0]!gstd</f>
        <v>1.0058657133393996</v>
      </c>
      <c r="M51" s="6">
        <f>J51-D51</f>
        <v>9.864172997719821</v>
      </c>
      <c r="O51" s="6">
        <f>M51/[0]!gstd</f>
        <v>1.0058657133393996</v>
      </c>
      <c r="Q51" s="12">
        <f>[0]!gstd</f>
        <v>9.80665</v>
      </c>
      <c r="S51" s="3">
        <f>[0]!polar-D51</f>
        <v>9.831046993395839</v>
      </c>
      <c r="U51" s="6">
        <f>[0]!polar*([0]!b_/H51)^U$27</f>
        <v>9.831046993395839</v>
      </c>
      <c r="V51" s="6">
        <f>[0]!polar*([0]!b_/H51)^V$27</f>
        <v>9.831046993395839</v>
      </c>
      <c r="W51" s="6">
        <f>U51+D51</f>
        <v>9.831046993395839</v>
      </c>
      <c r="X51" s="12">
        <f>$J$14*(1+$K$14*SIN(C51*[0]!deg)^2+$L$14*SIN(C51*[0]!deg)^4)</f>
        <v>9.831046993395839</v>
      </c>
    </row>
    <row r="52" spans="4:15" ht="13.5">
      <c r="D52" s="3"/>
      <c r="F52" s="9"/>
      <c r="J52" s="7"/>
      <c r="K52" s="7"/>
      <c r="M52" s="7"/>
      <c r="O52" s="6"/>
    </row>
    <row r="53" spans="1:15" ht="13.5">
      <c r="A53" s="12">
        <v>92.55</v>
      </c>
      <c r="B53" s="12">
        <f>2*PI()/A53/D24</f>
        <v>0.001131493842459857</v>
      </c>
      <c r="C53" s="12">
        <v>0</v>
      </c>
      <c r="D53" s="3">
        <f>B53^2*H53*COS(C53*[0]!deg)</f>
        <v>8.6778544504571</v>
      </c>
      <c r="F53" s="9">
        <f>D53/J53</f>
        <v>1.0002084739420003</v>
      </c>
      <c r="H53" s="12">
        <f>H33+400000</f>
        <v>6778100</v>
      </c>
      <c r="J53" s="6">
        <f>$D$8/H53/H53</f>
        <v>8.676045721004666</v>
      </c>
      <c r="K53" s="6"/>
      <c r="L53" s="6">
        <f>J53/[0]!gstd</f>
        <v>0.8847104486246238</v>
      </c>
      <c r="M53" s="6">
        <f>J53-D53</f>
        <v>-0.0018087294524331554</v>
      </c>
      <c r="O53" s="6">
        <f>M53/[0]!gstd</f>
        <v>-0.0001844390747536779</v>
      </c>
    </row>
    <row r="54" ht="13.5"/>
    <row r="55" ht="13.5">
      <c r="J55" s="12" t="s">
        <v>55</v>
      </c>
    </row>
    <row r="56" spans="10:13" ht="13.5">
      <c r="J56" s="12" t="s">
        <v>57</v>
      </c>
      <c r="L56" s="12" t="s">
        <v>58</v>
      </c>
      <c r="M56" s="12" t="s">
        <v>59</v>
      </c>
    </row>
    <row r="57" spans="4:13" ht="13.5">
      <c r="D57" s="12" t="s">
        <v>60</v>
      </c>
      <c r="E57" s="12" t="s">
        <v>61</v>
      </c>
      <c r="G57" s="12" t="s">
        <v>62</v>
      </c>
      <c r="I57" s="12" t="s">
        <v>64</v>
      </c>
      <c r="J57" s="12" t="s">
        <v>65</v>
      </c>
      <c r="K57" s="12" t="s">
        <v>66</v>
      </c>
      <c r="M57" s="12" t="s">
        <v>67</v>
      </c>
    </row>
    <row r="58" spans="4:13" ht="13.5">
      <c r="D58" s="12" t="s">
        <v>68</v>
      </c>
      <c r="E58" s="12">
        <v>90</v>
      </c>
      <c r="G58" s="12">
        <v>0</v>
      </c>
      <c r="I58" s="12">
        <v>9.832</v>
      </c>
      <c r="K58" s="12">
        <f>IF(E58,ABS(E58),"x")</f>
        <v>90</v>
      </c>
      <c r="L58" s="8">
        <f>SQRT((([0]!a_^2*COS(E58*[0]!deg))^2+([0]!b_^2*SIN(E58*[0]!deg))^2)/(([0]!a_*COS(E58*[0]!deg))^2+([0]!b_*SIN(E58*[0]!deg))^2))</f>
        <v>6356800</v>
      </c>
      <c r="M58" s="7">
        <f>IF(E58,I58*(L58+G58)^2/L58^2,"x")</f>
        <v>9.832</v>
      </c>
    </row>
    <row r="59" spans="4:13" ht="13.5">
      <c r="D59" s="12" t="s">
        <v>69</v>
      </c>
      <c r="E59" s="12">
        <v>70</v>
      </c>
      <c r="G59" s="12">
        <v>20</v>
      </c>
      <c r="I59" s="12">
        <v>9.825</v>
      </c>
      <c r="K59" s="12">
        <f>ABS(E59)</f>
        <v>70</v>
      </c>
      <c r="L59" s="8">
        <f>SQRT((([0]!a_^2*COS(E59*[0]!deg))^2+([0]!b_^2*SIN(E59*[0]!deg))^2)/(([0]!a_*COS(E59*[0]!deg))^2+([0]!b_*SIN(E59*[0]!deg))^2))</f>
        <v>6359310.087694901</v>
      </c>
      <c r="M59" s="7">
        <f>I59*(L59+G59)^2/L59^2</f>
        <v>9.825061799253781</v>
      </c>
    </row>
    <row r="60" spans="4:13" ht="13.5">
      <c r="D60" s="12" t="s">
        <v>70</v>
      </c>
      <c r="E60" s="12">
        <v>59</v>
      </c>
      <c r="G60" s="12">
        <v>45</v>
      </c>
      <c r="I60" s="12">
        <v>9.818</v>
      </c>
      <c r="J60" s="12">
        <v>9.818</v>
      </c>
      <c r="K60" s="12">
        <f>ABS(E60)</f>
        <v>59</v>
      </c>
      <c r="L60" s="8">
        <f>SQRT((([0]!a_^2*COS(E60*[0]!deg))^2+([0]!b_^2*SIN(E60*[0]!deg))^2)/(([0]!a_*COS(E60*[0]!deg))^2+([0]!b_*SIN(E60*[0]!deg))^2))</f>
        <v>6362484.915792917</v>
      </c>
      <c r="M60" s="7">
        <f>I60*(L60+G60)^2/L60^2</f>
        <v>9.8181388801917</v>
      </c>
    </row>
    <row r="61" spans="4:13" ht="13.5">
      <c r="D61" s="12" t="s">
        <v>71</v>
      </c>
      <c r="E61" s="12">
        <v>51</v>
      </c>
      <c r="G61" s="12">
        <v>102</v>
      </c>
      <c r="I61" s="12">
        <v>9.811</v>
      </c>
      <c r="J61" s="12">
        <v>9.815</v>
      </c>
      <c r="K61" s="12">
        <f>ABS(E61)</f>
        <v>51</v>
      </c>
      <c r="L61" s="8">
        <f>SQRT((([0]!a_^2*COS(E61*[0]!deg))^2+([0]!b_^2*SIN(E61*[0]!deg))^2)/(([0]!a_*COS(E61*[0]!deg))^2+([0]!b_*SIN(E61*[0]!deg))^2))</f>
        <v>6365278.385955605</v>
      </c>
      <c r="M61" s="7">
        <f>I61*(L61+G61)^2/L61^2</f>
        <v>9.811314434014452</v>
      </c>
    </row>
    <row r="62" spans="4:13" ht="13.5">
      <c r="D62" s="12" t="s">
        <v>72</v>
      </c>
      <c r="E62" s="12">
        <v>51</v>
      </c>
      <c r="G62" s="12">
        <v>1376</v>
      </c>
      <c r="I62" s="12">
        <v>9.808</v>
      </c>
      <c r="K62" s="12">
        <f>ABS(E62)</f>
        <v>51</v>
      </c>
      <c r="L62" s="8">
        <f>SQRT((([0]!a_^2*COS(E62*[0]!deg))^2+([0]!b_^2*SIN(E62*[0]!deg))^2)/(([0]!a_*COS(E62*[0]!deg))^2+([0]!b_*SIN(E62*[0]!deg))^2))</f>
        <v>6365278.385955605</v>
      </c>
      <c r="M62" s="7">
        <f>I62*(L62+G62)^2/L62^2</f>
        <v>9.812240903820648</v>
      </c>
    </row>
    <row r="63" spans="4:13" ht="13.5">
      <c r="D63" s="12" t="s">
        <v>73</v>
      </c>
      <c r="E63" s="12">
        <v>41</v>
      </c>
      <c r="G63" s="12">
        <v>38</v>
      </c>
      <c r="I63" s="12">
        <v>9.803</v>
      </c>
      <c r="J63" s="12">
        <v>9.802</v>
      </c>
      <c r="K63" s="12">
        <f>ABS(E63)</f>
        <v>41</v>
      </c>
      <c r="L63" s="8">
        <f>SQRT((([0]!a_^2*COS(E63*[0]!deg))^2+([0]!b_^2*SIN(E63*[0]!deg))^2)/(([0]!a_*COS(E63*[0]!deg))^2+([0]!b_*SIN(E63*[0]!deg))^2))</f>
        <v>6368975.836463896</v>
      </c>
      <c r="M63" s="7">
        <f>I63*(L63+G63)^2/L63^2</f>
        <v>9.80311697802625</v>
      </c>
    </row>
    <row r="64" spans="4:13" ht="13.5">
      <c r="D64" s="12" t="s">
        <v>74</v>
      </c>
      <c r="E64" s="12">
        <v>42</v>
      </c>
      <c r="G64" s="12">
        <v>182</v>
      </c>
      <c r="I64" s="12">
        <v>9.803</v>
      </c>
      <c r="J64" s="12">
        <v>9.804</v>
      </c>
      <c r="K64" s="12">
        <f>ABS(E64)</f>
        <v>42</v>
      </c>
      <c r="L64" s="8">
        <f>SQRT((([0]!a_^2*COS(E64*[0]!deg))^2+([0]!b_^2*SIN(E64*[0]!deg))^2)/(([0]!a_*COS(E64*[0]!deg))^2+([0]!b_*SIN(E64*[0]!deg))^2))</f>
        <v>6368607.253454173</v>
      </c>
      <c r="M64" s="7">
        <f>I64*(L64+G64)^2/L64^2</f>
        <v>9.803560301938044</v>
      </c>
    </row>
    <row r="65" spans="4:13" ht="13.5">
      <c r="D65" s="12" t="s">
        <v>75</v>
      </c>
      <c r="E65" s="12">
        <v>40</v>
      </c>
      <c r="G65" s="12">
        <v>1638</v>
      </c>
      <c r="I65" s="12">
        <v>9.796</v>
      </c>
      <c r="J65" s="12">
        <v>9.798</v>
      </c>
      <c r="K65" s="12">
        <f>ABS(E65)</f>
        <v>40</v>
      </c>
      <c r="L65" s="8">
        <f>SQRT((([0]!a_^2*COS(E65*[0]!deg))^2+([0]!b_^2*SIN(E65*[0]!deg))^2)/(([0]!a_*COS(E65*[0]!deg))^2+([0]!b_*SIN(E65*[0]!deg))^2))</f>
        <v>6369342.509599654</v>
      </c>
      <c r="M65" s="7">
        <f>I65*(L65+G65)^2/L65^2</f>
        <v>9.801039110779918</v>
      </c>
    </row>
    <row r="66" spans="4:13" ht="13.5">
      <c r="D66" s="12" t="s">
        <v>76</v>
      </c>
      <c r="E66" s="12">
        <v>38</v>
      </c>
      <c r="G66" s="12">
        <v>114</v>
      </c>
      <c r="I66" s="12">
        <v>9.8</v>
      </c>
      <c r="K66" s="12">
        <f>ABS(E66)</f>
        <v>38</v>
      </c>
      <c r="L66" s="8">
        <f>SQRT((([0]!a_^2*COS(E66*[0]!deg))^2+([0]!b_^2*SIN(E66*[0]!deg))^2)/(([0]!a_*COS(E66*[0]!deg))^2+([0]!b_*SIN(E66*[0]!deg))^2))</f>
        <v>6370068.349742907</v>
      </c>
      <c r="M66" s="7">
        <f>I66*(L66+G66)^2/L66^2</f>
        <v>9.80035076860576</v>
      </c>
    </row>
    <row r="67" spans="4:13" ht="13.5">
      <c r="D67" s="12" t="s">
        <v>77</v>
      </c>
      <c r="E67" s="12">
        <v>9</v>
      </c>
      <c r="G67" s="12">
        <v>6</v>
      </c>
      <c r="I67" s="12">
        <v>9.782</v>
      </c>
      <c r="K67" s="12">
        <f>ABS(E67)</f>
        <v>9</v>
      </c>
      <c r="L67" s="8">
        <f>SQRT((([0]!a_^2*COS(E67*[0]!deg))^2+([0]!b_^2*SIN(E67*[0]!deg))^2)/(([0]!a_*COS(E67*[0]!deg))^2+([0]!b_*SIN(E67*[0]!deg))^2))</f>
        <v>6377582.986804577</v>
      </c>
      <c r="M67" s="7">
        <f>I67*(L67+G67)^2/L67^2</f>
        <v>9.782018405727602</v>
      </c>
    </row>
    <row r="68" spans="4:13" ht="13.5">
      <c r="D68" s="12" t="s">
        <v>78</v>
      </c>
      <c r="E68" s="12">
        <v>-6</v>
      </c>
      <c r="G68" s="12">
        <v>7</v>
      </c>
      <c r="I68" s="12">
        <v>9.782</v>
      </c>
      <c r="K68" s="12">
        <f>ABS(E68)</f>
        <v>6</v>
      </c>
      <c r="L68" s="8">
        <f>SQRT((([0]!a_^2*COS(E68*[0]!deg))^2+([0]!b_^2*SIN(E68*[0]!deg))^2)/(([0]!a_*COS(E68*[0]!deg))^2+([0]!b_*SIN(E68*[0]!deg))^2))</f>
        <v>6377869.188788146</v>
      </c>
      <c r="M68" s="7">
        <f>I68*(L68+G68)^2/L68^2</f>
        <v>9.782021472386951</v>
      </c>
    </row>
    <row r="69" spans="4:13" ht="13.5">
      <c r="D69" s="12" t="s">
        <v>79</v>
      </c>
      <c r="E69" s="12">
        <v>-37</v>
      </c>
      <c r="G69" s="12">
        <v>3</v>
      </c>
      <c r="I69" s="12">
        <v>9.8</v>
      </c>
      <c r="J69" s="12">
        <v>9.803</v>
      </c>
      <c r="K69" s="12">
        <f>ABS(E69)</f>
        <v>37</v>
      </c>
      <c r="L69" s="8">
        <f>SQRT((([0]!a_^2*COS(E69*[0]!deg))^2+([0]!b_^2*SIN(E69*[0]!deg))^2)/(([0]!a_*COS(E69*[0]!deg))^2+([0]!b_*SIN(E69*[0]!deg))^2))</f>
        <v>6370426.6371215135</v>
      </c>
      <c r="M69" s="7">
        <f>I69*(L69+G69)^2/L69^2</f>
        <v>9.800009230153208</v>
      </c>
    </row>
    <row r="70" spans="12:13" ht="13.5">
      <c r="L70" s="8"/>
      <c r="M70" s="7"/>
    </row>
    <row r="71" spans="4:13" ht="13.5">
      <c r="D71" s="56" t="s">
        <v>82</v>
      </c>
      <c r="E71" s="12">
        <v>52.366667</v>
      </c>
      <c r="G71" s="12">
        <v>2</v>
      </c>
      <c r="I71" s="12">
        <v>9.817</v>
      </c>
      <c r="K71" s="12">
        <f>IF(E71,ABS(E71),"x")</f>
        <v>52.366667</v>
      </c>
      <c r="L71" s="8">
        <f>SQRT((([0]!a_^2*COS(E71*[0]!deg))^2+([0]!b_^2*SIN(E71*[0]!deg))^2)/(([0]!a_*COS(E71*[0]!deg))^2+([0]!b_*SIN(E71*[0]!deg))^2))</f>
        <v>6364783.182851664</v>
      </c>
      <c r="M71" s="7">
        <f>IF(E71,I71*(L71+G71)^2/L71^2,"x")</f>
        <v>9.817006169574837</v>
      </c>
    </row>
    <row r="72" spans="4:13" ht="13.5">
      <c r="D72" s="14" t="s">
        <v>83</v>
      </c>
      <c r="E72" s="12">
        <v>61.216667</v>
      </c>
      <c r="G72" s="12">
        <v>31</v>
      </c>
      <c r="I72" s="12">
        <v>9.826</v>
      </c>
      <c r="K72" s="12">
        <f>ABS(E72)</f>
        <v>61.216667</v>
      </c>
      <c r="L72" s="8">
        <f>SQRT((([0]!a_^2*COS(E72*[0]!deg))^2+([0]!b_^2*SIN(E72*[0]!deg))^2)/(([0]!a_*COS(E72*[0]!deg))^2+([0]!b_*SIN(E72*[0]!deg))^2))</f>
        <v>6361770.011153063</v>
      </c>
      <c r="M72" s="7">
        <f>IF(E72,I72*(L72+G72)^2/L72^2,"x")</f>
        <v>9.826095761632885</v>
      </c>
    </row>
    <row r="73" spans="4:13" ht="13.5">
      <c r="D73" s="42" t="s">
        <v>84</v>
      </c>
      <c r="E73" s="12">
        <v>37.966667</v>
      </c>
      <c r="G73" s="12">
        <v>200</v>
      </c>
      <c r="H73" s="12">
        <v>130</v>
      </c>
      <c r="I73" s="12">
        <v>9.8</v>
      </c>
      <c r="K73" s="12">
        <f>ABS(E73)</f>
        <v>37.966667</v>
      </c>
      <c r="L73" s="8">
        <f>SQRT((([0]!a_^2*COS(E73*[0]!deg))^2+([0]!b_^2*SIN(E73*[0]!deg))^2)/(([0]!a_*COS(E73*[0]!deg))^2+([0]!b_*SIN(E73*[0]!deg))^2))</f>
        <v>6370080.347064708</v>
      </c>
      <c r="M73" s="7">
        <f>IF(E73,I73*(L73+G73)^2/L73^2,"x")</f>
        <v>9.800615386513844</v>
      </c>
    </row>
    <row r="74" spans="4:13" ht="13.5">
      <c r="D74" s="15" t="s">
        <v>85</v>
      </c>
      <c r="E74" s="12">
        <v>-36.840556</v>
      </c>
      <c r="G74" s="12">
        <v>196</v>
      </c>
      <c r="I74" s="12">
        <v>9.799</v>
      </c>
      <c r="K74" s="12">
        <f>ABS(E74)</f>
        <v>36.840556</v>
      </c>
      <c r="L74" s="8">
        <f>SQRT((([0]!a_^2*COS(E74*[0]!deg))^2+([0]!b_^2*SIN(E74*[0]!deg))^2)/(([0]!a_*COS(E74*[0]!deg))^2+([0]!b_*SIN(E74*[0]!deg))^2))</f>
        <v>6370483.436007842</v>
      </c>
      <c r="M74" s="7">
        <f>IF(E74,I74*(L74+G74)^2/L74^2,"x")</f>
        <v>9.79960297889942</v>
      </c>
    </row>
    <row r="75" spans="4:13" ht="13.5">
      <c r="D75" s="16" t="s">
        <v>86</v>
      </c>
      <c r="E75" s="12">
        <v>13.75</v>
      </c>
      <c r="G75" s="12">
        <v>1.5</v>
      </c>
      <c r="I75" s="12">
        <v>9.78</v>
      </c>
      <c r="K75" s="12">
        <f>ABS(E75)</f>
        <v>13.75</v>
      </c>
      <c r="L75" s="8">
        <f>SQRT((([0]!a_^2*COS(E75*[0]!deg))^2+([0]!b_^2*SIN(E75*[0]!deg))^2)/(([0]!a_*COS(E75*[0]!deg))^2+([0]!b_*SIN(E75*[0]!deg))^2))</f>
        <v>6376906.123621049</v>
      </c>
      <c r="M75" s="7">
        <f>IF(E75,I75*(L75+G75)^2/L75^2,"x")</f>
        <v>9.78000460097779</v>
      </c>
    </row>
    <row r="76" spans="4:13" ht="13.5">
      <c r="D76" s="43" t="s">
        <v>87</v>
      </c>
      <c r="E76" s="12">
        <v>52.483056</v>
      </c>
      <c r="G76" s="12">
        <v>140</v>
      </c>
      <c r="I76" s="12">
        <v>9.817</v>
      </c>
      <c r="K76" s="12">
        <f>ABS(E76)</f>
        <v>52.483056</v>
      </c>
      <c r="L76" s="8">
        <f>SQRT((([0]!a_^2*COS(E76*[0]!deg))^2+([0]!b_^2*SIN(E76*[0]!deg))^2)/(([0]!a_*COS(E76*[0]!deg))^2+([0]!b_*SIN(E76*[0]!deg))^2))</f>
        <v>6364741.270747392</v>
      </c>
      <c r="M76" s="7">
        <f>IF(E76,I76*(L76+G76)^2/L76^2,"x")</f>
        <v>9.817431877764417</v>
      </c>
    </row>
    <row r="77" spans="4:13" ht="13.5">
      <c r="D77" s="44" t="s">
        <v>71</v>
      </c>
      <c r="E77" s="12">
        <v>50.85</v>
      </c>
      <c r="G77" s="12">
        <v>13</v>
      </c>
      <c r="I77" s="12">
        <v>9.815</v>
      </c>
      <c r="K77" s="12">
        <f>ABS(E77)</f>
        <v>50.85</v>
      </c>
      <c r="L77" s="8">
        <f>SQRT((([0]!a_^2*COS(E77*[0]!deg))^2+([0]!b_^2*SIN(E77*[0]!deg))^2)/(([0]!a_*COS(E77*[0]!deg))^2+([0]!b_*SIN(E77*[0]!deg))^2))</f>
        <v>6365333.0536198765</v>
      </c>
      <c r="M77" s="7">
        <f>IF(E77,I77*(L77+G77)^2/L77^2,"x")</f>
        <v>9.815040090637588</v>
      </c>
    </row>
    <row r="78" spans="4:13" ht="13.5">
      <c r="D78" s="17" t="s">
        <v>88</v>
      </c>
      <c r="E78" s="12">
        <v>-34.603333</v>
      </c>
      <c r="G78" s="12">
        <v>25</v>
      </c>
      <c r="I78" s="12">
        <v>9.797</v>
      </c>
      <c r="K78" s="12">
        <f>ABS(E78)</f>
        <v>34.603333</v>
      </c>
      <c r="L78" s="8">
        <f>SQRT((([0]!a_^2*COS(E78*[0]!deg))^2+([0]!b_^2*SIN(E78*[0]!deg))^2)/(([0]!a_*COS(E78*[0]!deg))^2+([0]!b_*SIN(E78*[0]!deg))^2))</f>
        <v>6371269.590653808</v>
      </c>
      <c r="M78" s="7">
        <f>IF(E78,I78*(L78+G78)^2/L78^2,"x")</f>
        <v>9.797076884356263</v>
      </c>
    </row>
    <row r="79" spans="4:13" ht="13.5">
      <c r="D79" s="18" t="s">
        <v>89</v>
      </c>
      <c r="E79" s="12">
        <v>-33.925278</v>
      </c>
      <c r="G79" s="12">
        <v>1590.4</v>
      </c>
      <c r="I79" s="12">
        <v>9.796</v>
      </c>
      <c r="K79" s="12">
        <f>ABS(E79)</f>
        <v>33.925278</v>
      </c>
      <c r="L79" s="8">
        <f>SQRT((([0]!a_^2*COS(E79*[0]!deg))^2+([0]!b_^2*SIN(E79*[0]!deg))^2)/(([0]!a_*COS(E79*[0]!deg))^2+([0]!b_*SIN(E79*[0]!deg))^2))</f>
        <v>6371503.4414996365</v>
      </c>
      <c r="M79" s="7">
        <f>IF(E79,I79*(L79+G79)^2/L79^2,"x")</f>
        <v>9.80089099722252</v>
      </c>
    </row>
    <row r="80" spans="4:13" ht="13.5">
      <c r="D80" s="19" t="s">
        <v>74</v>
      </c>
      <c r="E80" s="12">
        <v>41.836944</v>
      </c>
      <c r="G80" s="12">
        <v>181</v>
      </c>
      <c r="I80" s="12">
        <v>9.804</v>
      </c>
      <c r="K80" s="12">
        <f>ABS(E80)</f>
        <v>41.836944</v>
      </c>
      <c r="L80" s="8">
        <f>SQRT((([0]!a_^2*COS(E80*[0]!deg))^2+([0]!b_^2*SIN(E80*[0]!deg))^2)/(([0]!a_*COS(E80*[0]!deg))^2+([0]!b_*SIN(E80*[0]!deg))^2))</f>
        <v>6368667.464770739</v>
      </c>
      <c r="M80" s="7">
        <f>IF(E80,I80*(L80+G80)^2/L80^2,"x")</f>
        <v>9.804557274885571</v>
      </c>
    </row>
    <row r="81" spans="4:13" ht="13.5">
      <c r="D81" s="20" t="s">
        <v>90</v>
      </c>
      <c r="E81" s="12">
        <v>55.676111</v>
      </c>
      <c r="G81" s="12">
        <v>46</v>
      </c>
      <c r="H81" s="12">
        <v>45</v>
      </c>
      <c r="I81" s="12">
        <v>9.821</v>
      </c>
      <c r="K81" s="12">
        <f>ABS(E81)</f>
        <v>55.676111</v>
      </c>
      <c r="L81" s="8">
        <f>SQRT((([0]!a_^2*COS(E81*[0]!deg))^2+([0]!b_^2*SIN(E81*[0]!deg))^2)/(([0]!a_*COS(E81*[0]!deg))^2+([0]!b_*SIN(E81*[0]!deg))^2))</f>
        <v>6363611.021782138</v>
      </c>
      <c r="M81" s="7">
        <f>IF(E81,I81*(L81+G81)^2/L81^2,"x")</f>
        <v>9.821141984678597</v>
      </c>
    </row>
    <row r="82" spans="4:13" ht="13.5">
      <c r="D82" s="21" t="s">
        <v>75</v>
      </c>
      <c r="E82" s="12">
        <v>39.76185</v>
      </c>
      <c r="G82" s="12">
        <v>1650</v>
      </c>
      <c r="H82" s="12">
        <v>80</v>
      </c>
      <c r="I82" s="12">
        <v>9.798</v>
      </c>
      <c r="K82" s="12">
        <f>ABS(E82)</f>
        <v>39.76185</v>
      </c>
      <c r="L82" s="8">
        <f>SQRT((([0]!a_^2*COS(E82*[0]!deg))^2+([0]!b_^2*SIN(E82*[0]!deg))^2)/(([0]!a_*COS(E82*[0]!deg))^2+([0]!b_*SIN(E82*[0]!deg))^2))</f>
        <v>6369429.502225589</v>
      </c>
      <c r="M82" s="7">
        <f>IF(E82,I82*(L82+G82)^2/L82^2,"x")</f>
        <v>9.803076999120648</v>
      </c>
    </row>
    <row r="83" spans="4:13" ht="13.5">
      <c r="D83" s="45" t="s">
        <v>91</v>
      </c>
      <c r="E83" s="12">
        <v>50.116667</v>
      </c>
      <c r="G83" s="12">
        <v>113</v>
      </c>
      <c r="I83" s="12">
        <v>9.814</v>
      </c>
      <c r="K83" s="12">
        <f>ABS(E83)</f>
        <v>50.116667</v>
      </c>
      <c r="L83" s="8">
        <f>SQRT((([0]!a_^2*COS(E83*[0]!deg))^2+([0]!b_^2*SIN(E83*[0]!deg))^2)/(([0]!a_*COS(E83*[0]!deg))^2+([0]!b_*SIN(E83*[0]!deg))^2))</f>
        <v>6365601.109437498</v>
      </c>
      <c r="M83" s="7">
        <f>IF(E83,I83*(L83+G83)^2/L83^2,"x")</f>
        <v>9.81434843271643</v>
      </c>
    </row>
    <row r="84" spans="4:13" ht="13.5">
      <c r="D84" s="64" t="s">
        <v>92</v>
      </c>
      <c r="E84" s="12">
        <v>23.133333</v>
      </c>
      <c r="G84" s="12">
        <v>59</v>
      </c>
      <c r="I84" s="12">
        <v>9.786</v>
      </c>
      <c r="K84" s="12">
        <f>ABS(E84)</f>
        <v>23.133333</v>
      </c>
      <c r="L84" s="8">
        <f>SQRT((([0]!a_^2*COS(E84*[0]!deg))^2+([0]!b_^2*SIN(E84*[0]!deg))^2)/(([0]!a_*COS(E84*[0]!deg))^2+([0]!b_*SIN(E84*[0]!deg))^2))</f>
        <v>6374835.5564069785</v>
      </c>
      <c r="M84" s="7">
        <f>IF(E84,I84*(L84+G84)^2/L84^2,"x")</f>
        <v>9.786181142451984</v>
      </c>
    </row>
    <row r="85" spans="4:13" ht="13.5">
      <c r="D85" s="22" t="s">
        <v>93</v>
      </c>
      <c r="E85" s="12">
        <v>60.170833</v>
      </c>
      <c r="G85" s="12">
        <v>51</v>
      </c>
      <c r="I85" s="12">
        <v>9.825</v>
      </c>
      <c r="K85" s="12">
        <f>ABS(E85)</f>
        <v>60.170833</v>
      </c>
      <c r="L85" s="8">
        <f>SQRT((([0]!a_^2*COS(E85*[0]!deg))^2+([0]!b_^2*SIN(E85*[0]!deg))^2)/(([0]!a_*COS(E85*[0]!deg))^2+([0]!b_*SIN(E85*[0]!deg))^2))</f>
        <v>6362103.33661387</v>
      </c>
      <c r="M85" s="7">
        <f>IF(E85,I85*(L85+G85)^2/L85^2,"x")</f>
        <v>9.82515751929255</v>
      </c>
    </row>
    <row r="86" spans="4:13" ht="13.5">
      <c r="D86" s="23" t="s">
        <v>94</v>
      </c>
      <c r="E86" s="12">
        <v>22.3</v>
      </c>
      <c r="G86" s="12">
        <v>480</v>
      </c>
      <c r="H86" s="12">
        <v>480</v>
      </c>
      <c r="I86" s="12">
        <v>9.785</v>
      </c>
      <c r="K86" s="12">
        <f>ABS(E86)</f>
        <v>22.3</v>
      </c>
      <c r="L86" s="8">
        <f>SQRT((([0]!a_^2*COS(E86*[0]!deg))^2+([0]!b_^2*SIN(E86*[0]!deg))^2)/(([0]!a_*COS(E86*[0]!deg))^2+([0]!b_*SIN(E86*[0]!deg))^2))</f>
        <v>6375054.964695004</v>
      </c>
      <c r="M86" s="7">
        <f>IF(E86,I86*(L86+G86)^2/L86^2,"x")</f>
        <v>9.78647354865023</v>
      </c>
    </row>
    <row r="87" spans="4:13" ht="13.5">
      <c r="D87" s="24" t="s">
        <v>95</v>
      </c>
      <c r="E87" s="12">
        <v>41.013611</v>
      </c>
      <c r="G87" s="12">
        <v>140</v>
      </c>
      <c r="H87" s="12">
        <v>140</v>
      </c>
      <c r="I87" s="12">
        <v>9.808</v>
      </c>
      <c r="K87" s="12">
        <f>ABS(E87)</f>
        <v>41.013611</v>
      </c>
      <c r="L87" s="8">
        <f>SQRT((([0]!a_^2*COS(E87*[0]!deg))^2+([0]!b_^2*SIN(E87*[0]!deg))^2)/(([0]!a_*COS(E87*[0]!deg))^2+([0]!b_*SIN(E87*[0]!deg))^2))</f>
        <v>6368970.831488803</v>
      </c>
      <c r="M87" s="7">
        <f>IF(E87,I87*(L87+G87)^2/L87^2,"x")</f>
        <v>9.808431195283509</v>
      </c>
    </row>
    <row r="88" spans="4:13" ht="13.5">
      <c r="D88" s="25" t="s">
        <v>96</v>
      </c>
      <c r="E88" s="12">
        <v>-6.2</v>
      </c>
      <c r="G88" s="12">
        <v>8</v>
      </c>
      <c r="I88" s="12">
        <v>9.777</v>
      </c>
      <c r="K88" s="12">
        <f>ABS(E88)</f>
        <v>6.2</v>
      </c>
      <c r="L88" s="8">
        <f>SQRT((([0]!a_^2*COS(E88*[0]!deg))^2+([0]!b_^2*SIN(E88*[0]!deg))^2)/(([0]!a_*COS(E88*[0]!deg))^2+([0]!b_*SIN(E88*[0]!deg))^2))</f>
        <v>6377853.6045032935</v>
      </c>
      <c r="M88" s="7">
        <f>IF(E88,I88*(L88+G88)^2/L88^2,"x")</f>
        <v>9.777024527389276</v>
      </c>
    </row>
    <row r="89" spans="4:13" ht="13.5">
      <c r="D89" s="57" t="s">
        <v>97</v>
      </c>
      <c r="E89" s="12">
        <v>7.296389</v>
      </c>
      <c r="G89" s="12">
        <v>500</v>
      </c>
      <c r="I89" s="12">
        <v>9.775</v>
      </c>
      <c r="K89" s="12">
        <f>ABS(E89)</f>
        <v>7.296389</v>
      </c>
      <c r="L89" s="8">
        <f>SQRT((([0]!a_^2*COS(E89*[0]!deg))^2+([0]!b_^2*SIN(E89*[0]!deg))^2)/(([0]!a_*COS(E89*[0]!deg))^2+([0]!b_*SIN(E89*[0]!deg))^2))</f>
        <v>6377759.2558921445</v>
      </c>
      <c r="M89" s="7">
        <f>IF(E89,I89*(L89+G89)^2/L89^2,"x")</f>
        <v>9.776532730034997</v>
      </c>
    </row>
    <row r="90" spans="4:13" ht="13.5">
      <c r="D90" s="26" t="s">
        <v>98</v>
      </c>
      <c r="E90" s="12">
        <v>22.566667</v>
      </c>
      <c r="G90" s="12">
        <v>9</v>
      </c>
      <c r="I90" s="12">
        <v>9.785</v>
      </c>
      <c r="K90" s="12">
        <f>ABS(E90)</f>
        <v>22.566667</v>
      </c>
      <c r="L90" s="8">
        <f>SQRT((([0]!a_^2*COS(E90*[0]!deg))^2+([0]!b_^2*SIN(E90*[0]!deg))^2)/(([0]!a_*COS(E90*[0]!deg))^2+([0]!b_*SIN(E90*[0]!deg))^2))</f>
        <v>6374985.443224113</v>
      </c>
      <c r="M90" s="7">
        <f>IF(E90,I90*(L90+G90)^2/L90^2,"x")</f>
        <v>9.785027628317884</v>
      </c>
    </row>
    <row r="91" spans="4:13" ht="13.5">
      <c r="D91" s="46" t="s">
        <v>99</v>
      </c>
      <c r="E91" s="12">
        <v>3.133333</v>
      </c>
      <c r="G91" s="12">
        <v>21.95</v>
      </c>
      <c r="I91" s="12">
        <v>9.776</v>
      </c>
      <c r="K91" s="12">
        <f>ABS(E91)</f>
        <v>3.133333</v>
      </c>
      <c r="L91" s="8">
        <f>SQRT((([0]!a_^2*COS(E91*[0]!deg))^2+([0]!b_^2*SIN(E91*[0]!deg))^2)/(([0]!a_*COS(E91*[0]!deg))^2+([0]!b_*SIN(E91*[0]!deg))^2))</f>
        <v>6378036.890618387</v>
      </c>
      <c r="M91" s="7">
        <f>IF(E91,I91*(L91+G91)^2/L91^2,"x")</f>
        <v>9.776067288280995</v>
      </c>
    </row>
    <row r="92" spans="4:13" ht="13.5">
      <c r="D92" s="27" t="s">
        <v>100</v>
      </c>
      <c r="E92" s="12">
        <v>29.369722</v>
      </c>
      <c r="G92" s="12">
        <v>2</v>
      </c>
      <c r="I92" s="12">
        <v>9.792</v>
      </c>
      <c r="K92" s="12">
        <f>ABS(E92)</f>
        <v>29.369722</v>
      </c>
      <c r="L92" s="8">
        <f>SQRT((([0]!a_^2*COS(E92*[0]!deg))^2+([0]!b_^2*SIN(E92*[0]!deg))^2)/(([0]!a_*COS(E92*[0]!deg))^2+([0]!b_*SIN(E92*[0]!deg))^2))</f>
        <v>6373009.079230384</v>
      </c>
      <c r="M92" s="7">
        <f>IF(E92,I92*(L92+G92)^2/L92^2,"x")</f>
        <v>9.792006145920345</v>
      </c>
    </row>
    <row r="93" spans="4:13" ht="13.5">
      <c r="D93" s="28" t="s">
        <v>101</v>
      </c>
      <c r="E93" s="12">
        <v>38.713889</v>
      </c>
      <c r="G93" s="12">
        <v>2</v>
      </c>
      <c r="I93" s="12">
        <v>9.801</v>
      </c>
      <c r="K93" s="12">
        <f>ABS(E93)</f>
        <v>38.713889</v>
      </c>
      <c r="L93" s="8">
        <f>SQRT((([0]!a_^2*COS(E93*[0]!deg))^2+([0]!b_^2*SIN(E93*[0]!deg))^2)/(([0]!a_*COS(E93*[0]!deg))^2+([0]!b_*SIN(E93*[0]!deg))^2))</f>
        <v>6369810.568137919</v>
      </c>
      <c r="M93" s="7">
        <f>IF(E93,I93*(L93+G93)^2/L93^2,"x")</f>
        <v>9.801006154658092</v>
      </c>
    </row>
    <row r="94" spans="4:13" ht="13.5">
      <c r="D94" s="29" t="s">
        <v>102</v>
      </c>
      <c r="E94" s="12">
        <v>51.507222</v>
      </c>
      <c r="G94" s="12">
        <v>35</v>
      </c>
      <c r="I94" s="12">
        <v>9.816</v>
      </c>
      <c r="K94" s="12">
        <f>ABS(E94)</f>
        <v>51.507222</v>
      </c>
      <c r="L94" s="8">
        <f>SQRT((([0]!a_^2*COS(E94*[0]!deg))^2+([0]!b_^2*SIN(E94*[0]!deg))^2)/(([0]!a_*COS(E94*[0]!deg))^2+([0]!b_*SIN(E94*[0]!deg))^2))</f>
        <v>6365093.970310412</v>
      </c>
      <c r="M94" s="7">
        <f>IF(E94,I94*(L94+G94)^2/L94^2,"x")</f>
        <v>9.816107951570293</v>
      </c>
    </row>
    <row r="95" spans="4:13" ht="13.5">
      <c r="D95" s="30" t="s">
        <v>103</v>
      </c>
      <c r="E95" s="12">
        <v>34.05</v>
      </c>
      <c r="G95" s="12">
        <v>93</v>
      </c>
      <c r="I95" s="12">
        <v>9.796</v>
      </c>
      <c r="K95" s="12">
        <f>ABS(E95)</f>
        <v>34.05</v>
      </c>
      <c r="L95" s="8">
        <f>SQRT((([0]!a_^2*COS(E95*[0]!deg))^2+([0]!b_^2*SIN(E95*[0]!deg))^2)/(([0]!a_*COS(E95*[0]!deg))^2+([0]!b_*SIN(E95*[0]!deg))^2))</f>
        <v>6371460.594431759</v>
      </c>
      <c r="M95" s="7">
        <f>IF(E95,I95*(L95+G95)^2/L95^2,"x")</f>
        <v>9.796285973564563</v>
      </c>
    </row>
    <row r="96" spans="4:13" ht="13.5">
      <c r="D96" s="31" t="s">
        <v>104</v>
      </c>
      <c r="E96" s="12">
        <v>40.383333</v>
      </c>
      <c r="G96" s="12">
        <v>667</v>
      </c>
      <c r="I96" s="12">
        <v>9.8</v>
      </c>
      <c r="K96" s="12">
        <f>ABS(E96)</f>
        <v>40.383333</v>
      </c>
      <c r="L96" s="8">
        <f>SQRT((([0]!a_^2*COS(E96*[0]!deg))^2+([0]!b_^2*SIN(E96*[0]!deg))^2)/(([0]!a_*COS(E96*[0]!deg))^2+([0]!b_*SIN(E96*[0]!deg))^2))</f>
        <v>6369202.205828314</v>
      </c>
      <c r="M96" s="7">
        <f>IF(E96,I96*(L96+G96)^2/L96^2,"x")</f>
        <v>9.802052672235527</v>
      </c>
    </row>
    <row r="97" spans="4:13" ht="13.5">
      <c r="D97" s="47" t="s">
        <v>105</v>
      </c>
      <c r="E97" s="12">
        <v>53.466667</v>
      </c>
      <c r="G97" s="12">
        <v>38</v>
      </c>
      <c r="I97" s="12">
        <v>9.818</v>
      </c>
      <c r="K97" s="12">
        <f>ABS(E97)</f>
        <v>53.466667</v>
      </c>
      <c r="L97" s="8">
        <f>SQRT((([0]!a_^2*COS(E97*[0]!deg))^2+([0]!b_^2*SIN(E97*[0]!deg))^2)/(([0]!a_*COS(E97*[0]!deg))^2+([0]!b_*SIN(E97*[0]!deg))^2))</f>
        <v>6364388.899571666</v>
      </c>
      <c r="M97" s="7">
        <f>IF(E97,I97*(L97+G97)^2/L97^2,"x")</f>
        <v>9.818117241457012</v>
      </c>
    </row>
    <row r="98" spans="4:13" ht="13.5">
      <c r="D98" s="32" t="s">
        <v>106</v>
      </c>
      <c r="E98" s="12">
        <v>14.58</v>
      </c>
      <c r="G98" s="12">
        <v>16</v>
      </c>
      <c r="I98" s="12">
        <v>9.78</v>
      </c>
      <c r="K98" s="12">
        <f>ABS(E98)</f>
        <v>14.58</v>
      </c>
      <c r="L98" s="8">
        <f>SQRT((([0]!a_^2*COS(E98*[0]!deg))^2+([0]!b_^2*SIN(E98*[0]!deg))^2)/(([0]!a_*COS(E98*[0]!deg))^2+([0]!b_*SIN(E98*[0]!deg))^2))</f>
        <v>6376760.777590215</v>
      </c>
      <c r="M98" s="7">
        <f>IF(E98,I98*(L98+G98)^2/L98^2,"x")</f>
        <v>9.780049078270855</v>
      </c>
    </row>
    <row r="99" spans="4:13" ht="13.5">
      <c r="D99" s="48" t="s">
        <v>107</v>
      </c>
      <c r="E99" s="12">
        <v>-37.813611</v>
      </c>
      <c r="G99" s="12">
        <v>31</v>
      </c>
      <c r="I99" s="12">
        <v>9.8</v>
      </c>
      <c r="K99" s="12">
        <f>ABS(E99)</f>
        <v>37.813611</v>
      </c>
      <c r="L99" s="8">
        <f>SQRT((([0]!a_^2*COS(E99*[0]!deg))^2+([0]!b_^2*SIN(E99*[0]!deg))^2)/(([0]!a_*COS(E99*[0]!deg))^2+([0]!b_*SIN(E99*[0]!deg))^2))</f>
        <v>6370135.388881911</v>
      </c>
      <c r="M99" s="7">
        <f>IF(E99,I99*(L99+G99)^2/L99^2,"x")</f>
        <v>9.8000953828202</v>
      </c>
    </row>
    <row r="100" spans="4:13" ht="13.5">
      <c r="D100" s="49" t="s">
        <v>108</v>
      </c>
      <c r="E100" s="12">
        <v>19.433333</v>
      </c>
      <c r="G100" s="12">
        <v>2250</v>
      </c>
      <c r="I100" s="12">
        <v>9.776</v>
      </c>
      <c r="K100" s="12">
        <f>ABS(E100)</f>
        <v>19.433333</v>
      </c>
      <c r="L100" s="8">
        <f>SQRT((([0]!a_^2*COS(E100*[0]!deg))^2+([0]!b_^2*SIN(E100*[0]!deg))^2)/(([0]!a_*COS(E100*[0]!deg))^2+([0]!b_*SIN(E100*[0]!deg))^2))</f>
        <v>6375759.65513252</v>
      </c>
      <c r="M100" s="7">
        <f>IF(E100,I100*(L100+G100)^2/L100^2,"x")</f>
        <v>9.782901101162702</v>
      </c>
    </row>
    <row r="101" spans="4:13" ht="13.5">
      <c r="D101" s="33" t="s">
        <v>109</v>
      </c>
      <c r="E101" s="12">
        <v>45.5</v>
      </c>
      <c r="G101" s="12">
        <v>120</v>
      </c>
      <c r="H101" s="12">
        <v>115</v>
      </c>
      <c r="I101" s="12">
        <v>9.809</v>
      </c>
      <c r="K101" s="12">
        <f>ABS(E101)</f>
        <v>45.5</v>
      </c>
      <c r="L101" s="8">
        <f>SQRT((([0]!a_^2*COS(E101*[0]!deg))^2+([0]!b_^2*SIN(E101*[0]!deg))^2)/(([0]!a_*COS(E101*[0]!deg))^2+([0]!b_*SIN(E101*[0]!deg))^2))</f>
        <v>6367308.653583009</v>
      </c>
      <c r="M101" s="7">
        <f>IF(E101,I101*(L101+G101)^2/L101^2,"x")</f>
        <v>9.809369729553197</v>
      </c>
    </row>
    <row r="102" spans="4:13" ht="13.5">
      <c r="D102" s="34" t="s">
        <v>110</v>
      </c>
      <c r="E102" s="12">
        <v>40.7127</v>
      </c>
      <c r="G102" s="12">
        <v>10</v>
      </c>
      <c r="I102" s="12">
        <v>9.802</v>
      </c>
      <c r="K102" s="12">
        <f>ABS(E102)</f>
        <v>40.7127</v>
      </c>
      <c r="L102" s="8">
        <f>SQRT((([0]!a_^2*COS(E102*[0]!deg))^2+([0]!b_^2*SIN(E102*[0]!deg))^2)/(([0]!a_*COS(E102*[0]!deg))^2+([0]!b_*SIN(E102*[0]!deg))^2))</f>
        <v>6369081.396789454</v>
      </c>
      <c r="M102" s="7">
        <f>IF(E102,I102*(L102+G102)^2/L102^2,"x")</f>
        <v>9.802030779973075</v>
      </c>
    </row>
    <row r="103" spans="4:13" ht="13.5">
      <c r="D103" s="50" t="s">
        <v>111</v>
      </c>
      <c r="E103" s="12">
        <v>35.166667</v>
      </c>
      <c r="G103" s="12">
        <v>220</v>
      </c>
      <c r="I103" s="12">
        <v>9.797</v>
      </c>
      <c r="K103" s="12">
        <f>ABS(E103)</f>
        <v>35.166667</v>
      </c>
      <c r="L103" s="8">
        <f>SQRT((([0]!a_^2*COS(E103*[0]!deg))^2+([0]!b_^2*SIN(E103*[0]!deg))^2)/(([0]!a_*COS(E103*[0]!deg))^2+([0]!b_*SIN(E103*[0]!deg))^2))</f>
        <v>6371073.660826441</v>
      </c>
      <c r="M103" s="7">
        <f>IF(E103,I103*(L103+G103)^2/L103^2,"x")</f>
        <v>9.797676613496513</v>
      </c>
    </row>
    <row r="104" spans="4:13" ht="13.5">
      <c r="D104" s="58" t="s">
        <v>112</v>
      </c>
      <c r="E104" s="12">
        <v>59.95</v>
      </c>
      <c r="G104" s="12">
        <v>23</v>
      </c>
      <c r="I104" s="12">
        <v>9.825</v>
      </c>
      <c r="K104" s="12">
        <f>ABS(E104)</f>
        <v>59.95</v>
      </c>
      <c r="L104" s="8">
        <f>SQRT((([0]!a_^2*COS(E104*[0]!deg))^2+([0]!b_^2*SIN(E104*[0]!deg))^2)/(([0]!a_*COS(E104*[0]!deg))^2+([0]!b_*SIN(E104*[0]!deg))^2))</f>
        <v>6362174.644446535</v>
      </c>
      <c r="M104" s="7">
        <f>IF(E104,I104*(L104+G104)^2/L104^2,"x")</f>
        <v>9.825071037159805</v>
      </c>
    </row>
    <row r="105" spans="4:13" ht="13.5">
      <c r="D105" s="35" t="s">
        <v>113</v>
      </c>
      <c r="E105" s="12">
        <v>45.416667</v>
      </c>
      <c r="G105" s="12">
        <v>70</v>
      </c>
      <c r="I105" s="12">
        <v>9.806</v>
      </c>
      <c r="K105" s="12">
        <f>ABS(E105)</f>
        <v>45.416667</v>
      </c>
      <c r="L105" s="8">
        <f>SQRT((([0]!a_^2*COS(E105*[0]!deg))^2+([0]!b_^2*SIN(E105*[0]!deg))^2)/(([0]!a_*COS(E105*[0]!deg))^2+([0]!b_*SIN(E105*[0]!deg))^2))</f>
        <v>6367339.632658974</v>
      </c>
      <c r="M105" s="7">
        <f>IF(E105,I105*(L105+G105)^2/L105^2,"x")</f>
        <v>9.806215607714593</v>
      </c>
    </row>
    <row r="106" spans="4:13" ht="13.5">
      <c r="D106" s="36" t="s">
        <v>114</v>
      </c>
      <c r="E106" s="12">
        <v>48.8567</v>
      </c>
      <c r="G106" s="12">
        <v>35</v>
      </c>
      <c r="I106" s="12">
        <v>9.809</v>
      </c>
      <c r="K106" s="12">
        <f>ABS(E106)</f>
        <v>48.8567</v>
      </c>
      <c r="L106" s="8">
        <f>SQRT((([0]!a_^2*COS(E106*[0]!deg))^2+([0]!b_^2*SIN(E106*[0]!deg))^2)/(([0]!a_*COS(E106*[0]!deg))^2+([0]!b_*SIN(E106*[0]!deg))^2))</f>
        <v>6366064.334081228</v>
      </c>
      <c r="M106" s="7">
        <f>IF(E106,I106*(L106+G106)^2/L106^2,"x")</f>
        <v>9.809107858144603</v>
      </c>
    </row>
    <row r="107" spans="4:13" ht="13.5">
      <c r="D107" s="51" t="s">
        <v>115</v>
      </c>
      <c r="E107" s="12">
        <v>-31.952222</v>
      </c>
      <c r="G107" s="12">
        <v>31.5</v>
      </c>
      <c r="I107" s="12">
        <v>9.794</v>
      </c>
      <c r="K107" s="12">
        <f>ABS(E107)</f>
        <v>31.952222</v>
      </c>
      <c r="L107" s="8">
        <f>SQRT((([0]!a_^2*COS(E107*[0]!deg))^2+([0]!b_^2*SIN(E107*[0]!deg))^2)/(([0]!a_*COS(E107*[0]!deg))^2+([0]!b_*SIN(E107*[0]!deg))^2))</f>
        <v>6372170.457408183</v>
      </c>
      <c r="M107" s="7">
        <f>IF(E107,I107*(L107+G107)^2/L107^2,"x")</f>
        <v>9.794096830982348</v>
      </c>
    </row>
    <row r="108" spans="4:13" ht="13.5">
      <c r="D108" s="37" t="s">
        <v>116</v>
      </c>
      <c r="E108" s="12">
        <v>-22.908333</v>
      </c>
      <c r="G108" s="12">
        <v>500</v>
      </c>
      <c r="H108" s="12">
        <v>500</v>
      </c>
      <c r="I108" s="12">
        <v>9.788</v>
      </c>
      <c r="K108" s="12">
        <f>ABS(E108)</f>
        <v>22.908333</v>
      </c>
      <c r="L108" s="8">
        <f>SQRT((([0]!a_^2*COS(E108*[0]!deg))^2+([0]!b_^2*SIN(E108*[0]!deg))^2)/(([0]!a_*COS(E108*[0]!deg))^2+([0]!b_*SIN(E108*[0]!deg))^2))</f>
        <v>6374895.418569376</v>
      </c>
      <c r="M108" s="7">
        <f>IF(E108,I108*(L108+G108)^2/L108^2,"x")</f>
        <v>9.789535457949775</v>
      </c>
    </row>
    <row r="109" spans="4:13" ht="13.5">
      <c r="D109" s="38" t="s">
        <v>117</v>
      </c>
      <c r="E109" s="12">
        <v>41.9</v>
      </c>
      <c r="G109" s="12">
        <v>21</v>
      </c>
      <c r="I109" s="12">
        <v>9.803</v>
      </c>
      <c r="K109" s="12">
        <f>ABS(E109)</f>
        <v>41.9</v>
      </c>
      <c r="L109" s="8">
        <f>SQRT((([0]!a_^2*COS(E109*[0]!deg))^2+([0]!b_^2*SIN(E109*[0]!deg))^2)/(([0]!a_*COS(E109*[0]!deg))^2+([0]!b_*SIN(E109*[0]!deg))^2))</f>
        <v>6368644.184960445</v>
      </c>
      <c r="M109" s="7">
        <f>IF(E109,I109*(L109+G109)^2/L109^2,"x")</f>
        <v>9.803064649031548</v>
      </c>
    </row>
    <row r="110" spans="4:13" ht="13.5">
      <c r="D110" s="59" t="s">
        <v>118</v>
      </c>
      <c r="E110" s="12">
        <v>47.609722</v>
      </c>
      <c r="G110" s="12">
        <v>250</v>
      </c>
      <c r="H110" s="12">
        <v>250</v>
      </c>
      <c r="I110" s="12">
        <v>9.811</v>
      </c>
      <c r="K110" s="12">
        <f>ABS(E110)</f>
        <v>47.609722</v>
      </c>
      <c r="L110" s="8">
        <f>SQRT((([0]!a_^2*COS(E110*[0]!deg))^2+([0]!b_^2*SIN(E110*[0]!deg))^2)/(([0]!a_*COS(E110*[0]!deg))^2+([0]!b_*SIN(E110*[0]!deg))^2))</f>
        <v>6366525.344592493</v>
      </c>
      <c r="M110" s="7">
        <f>IF(E110,I110*(L110+G110)^2/L110^2,"x")</f>
        <v>9.811770529613689</v>
      </c>
    </row>
    <row r="111" spans="4:13" ht="13.5">
      <c r="D111" s="52" t="s">
        <v>119</v>
      </c>
      <c r="E111" s="12">
        <v>1.3</v>
      </c>
      <c r="G111" s="12">
        <v>15</v>
      </c>
      <c r="I111" s="12">
        <v>9.776</v>
      </c>
      <c r="K111" s="12">
        <f>ABS(E111)</f>
        <v>1.3</v>
      </c>
      <c r="L111" s="8">
        <f>SQRT((([0]!a_^2*COS(E111*[0]!deg))^2+([0]!b_^2*SIN(E111*[0]!deg))^2)/(([0]!a_*COS(E111*[0]!deg))^2+([0]!b_*SIN(E111*[0]!deg))^2))</f>
        <v>6378089.127809743</v>
      </c>
      <c r="M111" s="7">
        <f>IF(E111,I111*(L111+G111)^2/L111^2,"x")</f>
        <v>9.776045982478294</v>
      </c>
    </row>
    <row r="112" spans="4:13" ht="13.5">
      <c r="D112" s="39" t="s">
        <v>120</v>
      </c>
      <c r="E112" s="12">
        <v>42</v>
      </c>
      <c r="G112" s="12">
        <v>240</v>
      </c>
      <c r="I112" s="12">
        <v>9.804</v>
      </c>
      <c r="K112" s="12">
        <f>ABS(E112)</f>
        <v>42</v>
      </c>
      <c r="L112" s="8">
        <f>SQRT((([0]!a_^2*COS(E112*[0]!deg))^2+([0]!b_^2*SIN(E112*[0]!deg))^2)/(([0]!a_*COS(E112*[0]!deg))^2+([0]!b_*SIN(E112*[0]!deg))^2))</f>
        <v>6368607.253454173</v>
      </c>
      <c r="M112" s="7">
        <f>IF(E112,I112*(L112+G112)^2/L112^2,"x")</f>
        <v>9.80473893843405</v>
      </c>
    </row>
    <row r="113" spans="4:13" ht="13.5">
      <c r="D113" s="53" t="s">
        <v>70</v>
      </c>
      <c r="E113" s="12">
        <v>59.329444</v>
      </c>
      <c r="F113" s="12">
        <v>18.068611</v>
      </c>
      <c r="G113" s="12">
        <v>0</v>
      </c>
      <c r="I113" s="12">
        <v>9.818</v>
      </c>
      <c r="K113" s="12">
        <f>ABS(E113)</f>
        <v>59.329444</v>
      </c>
      <c r="L113" s="8">
        <f>SQRT((([0]!a_^2*COS(E113*[0]!deg))^2+([0]!b_^2*SIN(E113*[0]!deg))^2)/(([0]!a_*COS(E113*[0]!deg))^2+([0]!b_*SIN(E113*[0]!deg))^2))</f>
        <v>6362376.6848087</v>
      </c>
      <c r="M113" s="7">
        <f>IF(E113,I113*(L113+G113)^2/L113^2,"x")</f>
        <v>9.818</v>
      </c>
    </row>
    <row r="114" spans="4:13" ht="13.5">
      <c r="D114" s="54" t="s">
        <v>121</v>
      </c>
      <c r="E114" s="12">
        <v>-33.865</v>
      </c>
      <c r="G114" s="12">
        <v>30</v>
      </c>
      <c r="H114" s="12">
        <v>30</v>
      </c>
      <c r="I114" s="12">
        <v>9.797</v>
      </c>
      <c r="K114" s="12">
        <f>ABS(E114)</f>
        <v>33.865</v>
      </c>
      <c r="L114" s="8">
        <f>SQRT((([0]!a_^2*COS(E114*[0]!deg))^2+([0]!b_^2*SIN(E114*[0]!deg))^2)/(([0]!a_*COS(E114*[0]!deg))^2+([0]!b_*SIN(E114*[0]!deg))^2))</f>
        <v>6371524.121778658</v>
      </c>
      <c r="M114" s="7">
        <f>IF(E114,I114*(L114+G114)^2/L114^2,"x")</f>
        <v>9.797092257578035</v>
      </c>
    </row>
    <row r="115" spans="4:13" ht="13.5">
      <c r="D115" s="40" t="s">
        <v>122</v>
      </c>
      <c r="E115" s="12">
        <v>25.033333</v>
      </c>
      <c r="G115" s="12">
        <v>10</v>
      </c>
      <c r="I115" s="12">
        <v>9.79</v>
      </c>
      <c r="K115" s="12">
        <f>ABS(E115)</f>
        <v>25.033333</v>
      </c>
      <c r="L115" s="8">
        <f>SQRT((([0]!a_^2*COS(E115*[0]!deg))^2+([0]!b_^2*SIN(E115*[0]!deg))^2)/(([0]!a_*COS(E115*[0]!deg))^2+([0]!b_*SIN(E115*[0]!deg))^2))</f>
        <v>6374312.30133871</v>
      </c>
      <c r="M115" s="7">
        <f>IF(E115,I115*(L115+G115)^2/L115^2,"x")</f>
        <v>9.790030717063162</v>
      </c>
    </row>
    <row r="116" spans="4:13" ht="13.5">
      <c r="D116" s="60" t="s">
        <v>123</v>
      </c>
      <c r="E116" s="12">
        <v>35.683333</v>
      </c>
      <c r="G116" s="12">
        <v>40</v>
      </c>
      <c r="I116" s="12">
        <v>9.798</v>
      </c>
      <c r="K116" s="12">
        <f>ABS(E116)</f>
        <v>35.683333</v>
      </c>
      <c r="L116" s="8">
        <f>SQRT((([0]!a_^2*COS(E116*[0]!deg))^2+([0]!b_^2*SIN(E116*[0]!deg))^2)/(([0]!a_*COS(E116*[0]!deg))^2+([0]!b_*SIN(E116*[0]!deg))^2))</f>
        <v>6370892.718771049</v>
      </c>
      <c r="M116" s="7">
        <f>IF(E116,I116*(L116+G116)^2/L116^2,"x")</f>
        <v>9.798123034948993</v>
      </c>
    </row>
    <row r="117" spans="4:13" ht="13.5">
      <c r="D117" s="61" t="s">
        <v>124</v>
      </c>
      <c r="E117" s="12">
        <v>43.7</v>
      </c>
      <c r="F117" s="12">
        <v>-79.4</v>
      </c>
      <c r="G117" s="12">
        <v>76</v>
      </c>
      <c r="I117" s="12">
        <v>9.807</v>
      </c>
      <c r="K117" s="12">
        <f>ABS(E117)</f>
        <v>43.7</v>
      </c>
      <c r="L117" s="8">
        <f>SQRT((([0]!a_^2*COS(E117*[0]!deg))^2+([0]!b_^2*SIN(E117*[0]!deg))^2)/(([0]!a_*COS(E117*[0]!deg))^2+([0]!b_*SIN(E117*[0]!deg))^2))</f>
        <v>6367977.547317403</v>
      </c>
      <c r="M117" s="7">
        <f>IF(E117,I117*(L117+G117)^2/L117^2,"x")</f>
        <v>9.80723408890566</v>
      </c>
    </row>
    <row r="118" spans="4:13" ht="13.5">
      <c r="D118" s="41" t="s">
        <v>125</v>
      </c>
      <c r="E118" s="12">
        <v>49.25</v>
      </c>
      <c r="F118" s="12">
        <v>-123.1</v>
      </c>
      <c r="G118" s="12">
        <v>75</v>
      </c>
      <c r="H118" s="12">
        <v>75</v>
      </c>
      <c r="I118" s="12">
        <v>9.809</v>
      </c>
      <c r="K118" s="12">
        <f>ABS(E118)</f>
        <v>49.25</v>
      </c>
      <c r="L118" s="8">
        <f>SQRT((([0]!a_^2*COS(E118*[0]!deg))^2+([0]!b_^2*SIN(E118*[0]!deg))^2)/(([0]!a_*COS(E118*[0]!deg))^2+([0]!b_*SIN(E118*[0]!deg))^2))</f>
        <v>6365919.416769095</v>
      </c>
      <c r="M118" s="7">
        <f>IF(E118,I118*(L118+G118)^2/L118^2,"x")</f>
        <v>9.809231130583191</v>
      </c>
    </row>
    <row r="119" spans="4:13" ht="13.5">
      <c r="D119" s="62" t="s">
        <v>126</v>
      </c>
      <c r="E119" s="12">
        <v>38.904722</v>
      </c>
      <c r="F119" s="12">
        <v>-77.016389</v>
      </c>
      <c r="G119" s="12">
        <v>125</v>
      </c>
      <c r="I119" s="12">
        <v>9.801</v>
      </c>
      <c r="K119" s="12">
        <f>ABS(E119)</f>
        <v>38.904722</v>
      </c>
      <c r="L119" s="8">
        <f>SQRT((([0]!a_^2*COS(E119*[0]!deg))^2+([0]!b_^2*SIN(E119*[0]!deg))^2)/(([0]!a_*COS(E119*[0]!deg))^2+([0]!b_*SIN(E119*[0]!deg))^2))</f>
        <v>6369741.400451478</v>
      </c>
      <c r="M119" s="7">
        <f>IF(E119,I119*(L119+G119)^2/L119^2,"x")</f>
        <v>9.80138467402173</v>
      </c>
    </row>
    <row r="120" spans="4:13" ht="13.5">
      <c r="D120" s="63" t="s">
        <v>127</v>
      </c>
      <c r="E120" s="12">
        <v>-41.288889</v>
      </c>
      <c r="F120" s="12">
        <v>174.777222</v>
      </c>
      <c r="G120" s="12">
        <v>0</v>
      </c>
      <c r="I120" s="12">
        <v>9.803</v>
      </c>
      <c r="K120" s="12">
        <f>ABS(E120)</f>
        <v>41.288889</v>
      </c>
      <c r="L120" s="8">
        <f>SQRT((([0]!a_^2*COS(E120*[0]!deg))^2+([0]!b_^2*SIN(E120*[0]!deg))^2)/(([0]!a_*COS(E120*[0]!deg))^2+([0]!b_*SIN(E120*[0]!deg))^2))</f>
        <v>6368869.533353614</v>
      </c>
      <c r="M120" s="7">
        <f>IF(E120,I120*(L120+G120)^2/L120^2,"x")</f>
        <v>9.803</v>
      </c>
    </row>
    <row r="121" spans="4:13" ht="13.5">
      <c r="D121" s="55" t="s">
        <v>128</v>
      </c>
      <c r="E121" s="12">
        <v>47.366667</v>
      </c>
      <c r="F121" s="12">
        <v>8.55</v>
      </c>
      <c r="G121" s="12">
        <v>408</v>
      </c>
      <c r="I121" s="12">
        <v>9.807</v>
      </c>
      <c r="K121" s="12">
        <f>ABS(E121)</f>
        <v>47.366667</v>
      </c>
      <c r="L121" s="8">
        <f>SQRT((([0]!a_^2*COS(E121*[0]!deg))^2+([0]!b_^2*SIN(E121*[0]!deg))^2)/(([0]!a_*COS(E121*[0]!deg))^2+([0]!b_*SIN(E121*[0]!deg))^2))</f>
        <v>6366615.424366885</v>
      </c>
      <c r="M121" s="7">
        <f>IF(E121,I121*(L121+G121)^2/L121^2,"x")</f>
        <v>9.808256989449527</v>
      </c>
    </row>
    <row r="122" spans="4:13" ht="13.5">
      <c r="D122" s="12" t="s">
        <v>129</v>
      </c>
      <c r="E122" s="12">
        <v>-77.85</v>
      </c>
      <c r="F122" s="12">
        <v>166.666667</v>
      </c>
      <c r="G122" s="12">
        <v>3</v>
      </c>
      <c r="I122" s="12">
        <v>9.83876</v>
      </c>
      <c r="K122" s="12">
        <f>ABS(E122)</f>
        <v>77.85</v>
      </c>
      <c r="L122" s="8">
        <f>SQRT((([0]!a_^2*COS(E122*[0]!deg))^2+([0]!b_^2*SIN(E122*[0]!deg))^2)/(([0]!a_*COS(E122*[0]!deg))^2+([0]!b_*SIN(E122*[0]!deg))^2))</f>
        <v>6357751.126329017</v>
      </c>
      <c r="M122" s="7">
        <f>IF(E122,I122*(L122+G122)^2/L122^2,"x")</f>
        <v>9.838769285134438</v>
      </c>
    </row>
    <row r="123" spans="4:13" ht="13.5">
      <c r="D123" s="12" t="s">
        <v>130</v>
      </c>
      <c r="E123" s="12">
        <v>80</v>
      </c>
      <c r="F123" s="12">
        <v>-100</v>
      </c>
      <c r="G123" s="12">
        <v>1</v>
      </c>
      <c r="I123" s="12">
        <v>9.83971</v>
      </c>
      <c r="K123" s="12">
        <f>ABS(E123)</f>
        <v>80</v>
      </c>
      <c r="L123" s="8">
        <f>SQRT((([0]!a_^2*COS(E123*[0]!deg))^2+([0]!b_^2*SIN(E123*[0]!deg))^2)/(([0]!a_*COS(E123*[0]!deg))^2+([0]!b_*SIN(E123*[0]!deg))^2))</f>
        <v>6357447.504209083</v>
      </c>
      <c r="M123" s="7">
        <f>IF(E123,I123*(L123+G123)^2/L123^2,"x")</f>
        <v>9.839713095491003</v>
      </c>
    </row>
    <row r="124" spans="4:13" ht="13.5">
      <c r="D124" s="12" t="s">
        <v>131</v>
      </c>
      <c r="E124" s="12">
        <v>83.666667</v>
      </c>
      <c r="F124" s="12">
        <v>-29.833333</v>
      </c>
      <c r="G124" s="12">
        <v>-92</v>
      </c>
      <c r="I124" s="12" t="s">
        <v>132</v>
      </c>
      <c r="K124" s="12">
        <f>IF(E124,ABS(E124),"x")</f>
        <v>83.666667</v>
      </c>
      <c r="L124" s="8">
        <f>SQRT((([0]!a_^2*COS(E124*[0]!deg))^2+([0]!b_^2*SIN(E124*[0]!deg))^2)/(([0]!a_*COS(E124*[0]!deg))^2+([0]!b_*SIN(E124*[0]!deg))^2))</f>
        <v>6357061.347046174</v>
      </c>
      <c r="M124" s="7" t="e">
        <f>IF(E124,I124*(L124+G124)^2/L124^2,"x")</f>
        <v>#VALUE!</v>
      </c>
    </row>
    <row r="125" spans="4:13" ht="13.5">
      <c r="D125" s="12" t="s">
        <v>133</v>
      </c>
      <c r="E125" s="12">
        <v>83.56</v>
      </c>
      <c r="F125" s="12">
        <v>-29.83333</v>
      </c>
      <c r="G125" s="12">
        <v>7</v>
      </c>
      <c r="I125" s="12">
        <v>9.84086</v>
      </c>
      <c r="K125" s="12">
        <f>IF(E125,ABS(E125),"x")</f>
        <v>83.56</v>
      </c>
      <c r="L125" s="8">
        <f>SQRT((([0]!a_^2*COS(E125*[0]!deg))^2+([0]!b_^2*SIN(E125*[0]!deg))^2)/(([0]!a_*COS(E125*[0]!deg))^2+([0]!b_*SIN(E125*[0]!deg))^2))</f>
        <v>6357070.18612903</v>
      </c>
      <c r="M125" s="7">
        <f>IF(E125,I125*(L125+G125)^2/L125^2,"x")</f>
        <v>9.840881672265967</v>
      </c>
    </row>
    <row r="126" spans="4:13" ht="12.75">
      <c r="D126" s="12" t="s">
        <v>134</v>
      </c>
      <c r="E126" s="12">
        <v>-89</v>
      </c>
      <c r="F126" s="12">
        <v>0</v>
      </c>
      <c r="G126" s="12">
        <v>2696</v>
      </c>
      <c r="I126" s="12">
        <v>9.83338</v>
      </c>
      <c r="K126" s="12">
        <f>IF(E126,ABS(E126),"x")</f>
        <v>89</v>
      </c>
      <c r="L126" s="8">
        <f>SQRT((([0]!a_^2*COS(E126*[0]!deg))^2+([0]!b_^2*SIN(E126*[0]!deg))^2)/(([0]!a_*COS(E126*[0]!deg))^2+([0]!b_*SIN(E126*[0]!deg))^2))</f>
        <v>6356806.542167773</v>
      </c>
      <c r="M126" s="7">
        <f>IF(E126,I126*(L126+G126)^2/L126^2,"x")</f>
        <v>9.84172268404458</v>
      </c>
    </row>
    <row r="127" spans="4:13" ht="12.75">
      <c r="D127" s="12" t="s">
        <v>135</v>
      </c>
      <c r="E127" s="12">
        <v>40.12498</v>
      </c>
      <c r="F127" s="12">
        <v>-105.2368</v>
      </c>
      <c r="G127" s="12">
        <v>1689</v>
      </c>
      <c r="I127" s="12">
        <v>9.79798</v>
      </c>
      <c r="K127" s="12">
        <f>IF(E127,ABS(E127),"x")</f>
        <v>40.12498</v>
      </c>
      <c r="L127" s="8">
        <f>SQRT((([0]!a_^2*COS(E127*[0]!deg))^2+([0]!b_^2*SIN(E127*[0]!deg))^2)/(([0]!a_*COS(E127*[0]!deg))^2+([0]!b_*SIN(E127*[0]!deg))^2))</f>
        <v>6369296.802457877</v>
      </c>
      <c r="M127" s="7">
        <f>IF(E127,I127*(L127+G127)^2/L127^2,"x")</f>
        <v>9.803177114508557</v>
      </c>
    </row>
    <row r="128" spans="11:13" ht="12.75">
      <c r="K128" s="12" t="str">
        <f>IF(E128,ABS(E128),"x")</f>
        <v>x</v>
      </c>
      <c r="L128" s="8">
        <f>SQRT((([0]!a_^2*COS(E128*[0]!deg))^2+([0]!b_^2*SIN(E128*[0]!deg))^2)/(([0]!a_*COS(E128*[0]!deg))^2+([0]!b_*SIN(E128*[0]!deg))^2))</f>
        <v>6378100</v>
      </c>
      <c r="M128" s="7" t="str">
        <f>IF(E128,I128*(L128+G128)^2/L128^2,"x")</f>
        <v>x</v>
      </c>
    </row>
    <row r="129" spans="11:13" ht="12.75">
      <c r="K129" s="12" t="str">
        <f>IF(E129,ABS(E129),"x")</f>
        <v>x</v>
      </c>
      <c r="L129" s="8">
        <f>SQRT((([0]!a_^2*COS(E129*[0]!deg))^2+([0]!b_^2*SIN(E129*[0]!deg))^2)/(([0]!a_*COS(E129*[0]!deg))^2+([0]!b_*SIN(E129*[0]!deg))^2))</f>
        <v>6378100</v>
      </c>
      <c r="M129" s="7" t="str">
        <f>IF(E129,I129*(L129+G129)^2/L129^2,"x")</f>
        <v>x</v>
      </c>
    </row>
    <row r="130" spans="11:13" ht="12.75">
      <c r="K130" s="12" t="str">
        <f>IF(E130,ABS(E130),"x")</f>
        <v>x</v>
      </c>
      <c r="L130" s="8">
        <f>SQRT((([0]!a_^2*COS(E130*[0]!deg))^2+([0]!b_^2*SIN(E130*[0]!deg))^2)/(([0]!a_*COS(E130*[0]!deg))^2+([0]!b_*SIN(E130*[0]!deg))^2))</f>
        <v>6378100</v>
      </c>
      <c r="M130" s="7" t="str">
        <f>IF(E130,I130*(L130+G130)^2/L130^2,"x")</f>
        <v>x</v>
      </c>
    </row>
    <row r="131" spans="11:13" ht="12.75">
      <c r="K131" s="12" t="str">
        <f>IF(E131,ABS(E131),"x")</f>
        <v>x</v>
      </c>
      <c r="L131" s="8">
        <f>SQRT((([0]!a_^2*COS(E131*[0]!deg))^2+([0]!b_^2*SIN(E131*[0]!deg))^2)/(([0]!a_*COS(E131*[0]!deg))^2+([0]!b_*SIN(E131*[0]!deg))^2))</f>
        <v>6378100</v>
      </c>
      <c r="M131" s="7" t="str">
        <f>IF(E131,I131*(L131+G131)^2/L131^2,"x")</f>
        <v>x</v>
      </c>
    </row>
    <row r="132" spans="11:13" ht="12.75">
      <c r="K132" s="12" t="str">
        <f>IF(E132,ABS(E132),"x")</f>
        <v>x</v>
      </c>
      <c r="L132" s="8">
        <f>SQRT((([0]!a_^2*COS(E132*[0]!deg))^2+([0]!b_^2*SIN(E132*[0]!deg))^2)/(([0]!a_*COS(E132*[0]!deg))^2+([0]!b_*SIN(E132*[0]!deg))^2))</f>
        <v>6378100</v>
      </c>
      <c r="M132" s="7" t="str">
        <f>IF(E132,I132*(L132+G132)^2/L132^2,"x")</f>
        <v>x</v>
      </c>
    </row>
    <row r="133" spans="11:13" ht="12.75">
      <c r="K133" s="12" t="str">
        <f>IF(E133,ABS(E133),"x")</f>
        <v>x</v>
      </c>
      <c r="L133" s="8">
        <f>SQRT((([0]!a_^2*COS(E133*[0]!deg))^2+([0]!b_^2*SIN(E133*[0]!deg))^2)/(([0]!a_*COS(E133*[0]!deg))^2+([0]!b_*SIN(E133*[0]!deg))^2))</f>
        <v>6378100</v>
      </c>
      <c r="M133" s="7" t="str">
        <f>IF(E133,I133*(L133+G133)^2/L133^2,"x")</f>
        <v>x</v>
      </c>
    </row>
    <row r="134" spans="11:13" ht="12.75">
      <c r="K134" s="12" t="str">
        <f>IF(E134,ABS(E134),"x")</f>
        <v>x</v>
      </c>
      <c r="L134" s="8">
        <f>SQRT((([0]!a_^2*COS(E134*[0]!deg))^2+([0]!b_^2*SIN(E134*[0]!deg))^2)/(([0]!a_*COS(E134*[0]!deg))^2+([0]!b_*SIN(E134*[0]!deg))^2))</f>
        <v>6378100</v>
      </c>
      <c r="M134" s="7" t="str">
        <f>IF(E134,I134*(L134+G134)^2/L134^2,"x")</f>
        <v>x</v>
      </c>
    </row>
    <row r="135" spans="11:13" ht="12.75">
      <c r="K135" s="12" t="str">
        <f>IF(E135,ABS(E135),"x")</f>
        <v>x</v>
      </c>
      <c r="L135" s="8">
        <f>SQRT((([0]!a_^2*COS(E135*[0]!deg))^2+([0]!b_^2*SIN(E135*[0]!deg))^2)/(([0]!a_*COS(E135*[0]!deg))^2+([0]!b_*SIN(E135*[0]!deg))^2))</f>
        <v>6378100</v>
      </c>
      <c r="M135" s="7" t="str">
        <f>IF(E135,I135*(L135+G135)^2/L135^2,"x")</f>
        <v>x</v>
      </c>
    </row>
    <row r="136" spans="11:13" ht="12.75">
      <c r="K136" s="12" t="str">
        <f>IF(E136,ABS(E136),"x")</f>
        <v>x</v>
      </c>
      <c r="L136" s="8">
        <f>SQRT((([0]!a_^2*COS(E136*[0]!deg))^2+([0]!b_^2*SIN(E136*[0]!deg))^2)/(([0]!a_*COS(E136*[0]!deg))^2+([0]!b_*SIN(E136*[0]!deg))^2))</f>
        <v>6378100</v>
      </c>
      <c r="M136" s="7" t="str">
        <f>IF(E136,I136*(L136+G136)^2/L136^2,"x")</f>
        <v>x</v>
      </c>
    </row>
    <row r="137" spans="11:13" ht="12.75">
      <c r="K137" s="12" t="str">
        <f>IF(E137,ABS(E137),"x")</f>
        <v>x</v>
      </c>
      <c r="L137" s="8">
        <f>SQRT((([0]!a_^2*COS(E137*[0]!deg))^2+([0]!b_^2*SIN(E137*[0]!deg))^2)/(([0]!a_*COS(E137*[0]!deg))^2+([0]!b_*SIN(E137*[0]!deg))^2))</f>
        <v>6378100</v>
      </c>
      <c r="M137" s="7" t="str">
        <f>IF(E137,I137*(L137+G137)^2/L137^2,"x")</f>
        <v>x</v>
      </c>
    </row>
    <row r="138" spans="11:13" ht="12.75">
      <c r="K138" s="12" t="str">
        <f>IF(E138,ABS(E138),"x")</f>
        <v>x</v>
      </c>
      <c r="L138" s="8">
        <f>SQRT((([0]!a_^2*COS(E138*[0]!deg))^2+([0]!b_^2*SIN(E138*[0]!deg))^2)/(([0]!a_*COS(E138*[0]!deg))^2+([0]!b_*SIN(E138*[0]!deg))^2))</f>
        <v>6378100</v>
      </c>
      <c r="M138" s="7" t="str">
        <f>IF(E138,I138*(L138+G138)^2/L138^2,"x")</f>
        <v>x</v>
      </c>
    </row>
    <row r="139" spans="11:13" ht="12.75">
      <c r="K139" s="12" t="str">
        <f>IF(E139,ABS(E139),"x")</f>
        <v>x</v>
      </c>
      <c r="L139" s="8">
        <f>SQRT((([0]!a_^2*COS(E139*[0]!deg))^2+([0]!b_^2*SIN(E139*[0]!deg))^2)/(([0]!a_*COS(E139*[0]!deg))^2+([0]!b_*SIN(E139*[0]!deg))^2))</f>
        <v>6378100</v>
      </c>
      <c r="M139" s="7" t="str">
        <f>IF(E139,I139*(L139+G139)^2/L139^2,"x")</f>
        <v>x</v>
      </c>
    </row>
    <row r="140" spans="11:13" ht="12.75">
      <c r="K140" s="12" t="str">
        <f>IF(E140,ABS(E140),"x")</f>
        <v>x</v>
      </c>
      <c r="L140" s="8">
        <f>SQRT((([0]!a_^2*COS(E140*[0]!deg))^2+([0]!b_^2*SIN(E140*[0]!deg))^2)/(([0]!a_*COS(E140*[0]!deg))^2+([0]!b_*SIN(E140*[0]!deg))^2))</f>
        <v>6378100</v>
      </c>
      <c r="M140" s="7" t="str">
        <f>IF(E140,I140*(L140+G140)^2/L140^2,"x")</f>
        <v>x</v>
      </c>
    </row>
    <row r="141" spans="11:13" ht="12.75">
      <c r="K141" s="12" t="str">
        <f>IF(E141,ABS(E141),"x")</f>
        <v>x</v>
      </c>
      <c r="L141" s="8">
        <f>SQRT((([0]!a_^2*COS(E141*[0]!deg))^2+([0]!b_^2*SIN(E141*[0]!deg))^2)/(([0]!a_*COS(E141*[0]!deg))^2+([0]!b_*SIN(E141*[0]!deg))^2))</f>
        <v>6378100</v>
      </c>
      <c r="M141" s="7" t="str">
        <f>IF(E141,I141*(L141+G141)^2/L141^2,"x")</f>
        <v>x</v>
      </c>
    </row>
    <row r="142" spans="11:13" ht="12.75">
      <c r="K142" s="12" t="str">
        <f>IF(E142,ABS(E142),"x")</f>
        <v>x</v>
      </c>
      <c r="L142" s="8">
        <f>SQRT((([0]!a_^2*COS(E142*[0]!deg))^2+([0]!b_^2*SIN(E142*[0]!deg))^2)/(([0]!a_*COS(E142*[0]!deg))^2+([0]!b_*SIN(E142*[0]!deg))^2))</f>
        <v>6378100</v>
      </c>
      <c r="M142" s="7" t="str">
        <f>IF(E142,I142*(L142+G142)^2/L142^2,"x")</f>
        <v>x</v>
      </c>
    </row>
    <row r="143" spans="11:13" ht="12.75">
      <c r="K143" s="12" t="str">
        <f>IF(E143,ABS(E143),"x")</f>
        <v>x</v>
      </c>
      <c r="L143" s="8">
        <f>SQRT((([0]!a_^2*COS(E143*[0]!deg))^2+([0]!b_^2*SIN(E143*[0]!deg))^2)/(([0]!a_*COS(E143*[0]!deg))^2+([0]!b_*SIN(E143*[0]!deg))^2))</f>
        <v>6378100</v>
      </c>
      <c r="M143" s="7" t="str">
        <f>IF(E143,I143*(L143+G143)^2/L143^2,"x")</f>
        <v>x</v>
      </c>
    </row>
    <row r="144" spans="11:13" ht="12.75">
      <c r="K144" s="12" t="str">
        <f>IF(E144,ABS(E144),"x")</f>
        <v>x</v>
      </c>
      <c r="L144" s="8">
        <f>SQRT((([0]!a_^2*COS(E144*[0]!deg))^2+([0]!b_^2*SIN(E144*[0]!deg))^2)/(([0]!a_*COS(E144*[0]!deg))^2+([0]!b_*SIN(E144*[0]!deg))^2))</f>
        <v>6378100</v>
      </c>
      <c r="M144" s="7" t="str">
        <f>IF(E144,I144*(L144+G144)^2/L144^2,"x")</f>
        <v>x</v>
      </c>
    </row>
    <row r="145" spans="11:13" ht="12.75">
      <c r="K145" s="12" t="str">
        <f>IF(E145,ABS(E145),"x")</f>
        <v>x</v>
      </c>
      <c r="L145" s="8">
        <f>SQRT((([0]!a_^2*COS(E145*[0]!deg))^2+([0]!b_^2*SIN(E145*[0]!deg))^2)/(([0]!a_*COS(E145*[0]!deg))^2+([0]!b_*SIN(E145*[0]!deg))^2))</f>
        <v>6378100</v>
      </c>
      <c r="M145" s="7" t="str">
        <f>IF(E145,I145*(L145+G145)^2/L145^2,"x")</f>
        <v>x</v>
      </c>
    </row>
    <row r="146" spans="11:13" ht="12.75">
      <c r="K146" s="12" t="str">
        <f>IF(E146,ABS(E146),"x")</f>
        <v>x</v>
      </c>
      <c r="L146" s="8">
        <f>SQRT((([0]!a_^2*COS(E146*[0]!deg))^2+([0]!b_^2*SIN(E146*[0]!deg))^2)/(([0]!a_*COS(E146*[0]!deg))^2+([0]!b_*SIN(E146*[0]!deg))^2))</f>
        <v>6378100</v>
      </c>
      <c r="M146" s="7" t="str">
        <f>IF(E146,I146*(L146+G146)^2/L146^2,"x")</f>
        <v>x</v>
      </c>
    </row>
    <row r="147" spans="11:13" ht="12.75">
      <c r="K147" s="12" t="str">
        <f>IF(E147,ABS(E147),"x")</f>
        <v>x</v>
      </c>
      <c r="L147" s="8">
        <f>SQRT((([0]!a_^2*COS(E147*[0]!deg))^2+([0]!b_^2*SIN(E147*[0]!deg))^2)/(([0]!a_*COS(E147*[0]!deg))^2+([0]!b_*SIN(E147*[0]!deg))^2))</f>
        <v>6378100</v>
      </c>
      <c r="M147" s="7" t="str">
        <f>IF(E147,I147*(L147+G147)^2/L147^2,"x")</f>
        <v>x</v>
      </c>
    </row>
    <row r="148" spans="11:13" ht="12.75">
      <c r="K148" s="12" t="str">
        <f>IF(E148,ABS(E148),"x")</f>
        <v>x</v>
      </c>
      <c r="L148" s="8">
        <f>SQRT((([0]!a_^2*COS(E148*[0]!deg))^2+([0]!b_^2*SIN(E148*[0]!deg))^2)/(([0]!a_*COS(E148*[0]!deg))^2+([0]!b_*SIN(E148*[0]!deg))^2))</f>
        <v>6378100</v>
      </c>
      <c r="M148" s="7" t="str">
        <f>IF(E148,I148*(L148+G148)^2/L148^2,"x")</f>
        <v>x</v>
      </c>
    </row>
    <row r="149" spans="11:13" ht="12.75">
      <c r="K149" s="12" t="str">
        <f>IF(E149,ABS(E149),"x")</f>
        <v>x</v>
      </c>
      <c r="L149" s="8">
        <f>SQRT((([0]!a_^2*COS(E149*[0]!deg))^2+([0]!b_^2*SIN(E149*[0]!deg))^2)/(([0]!a_*COS(E149*[0]!deg))^2+([0]!b_*SIN(E149*[0]!deg))^2))</f>
        <v>6378100</v>
      </c>
      <c r="M149" s="7" t="str">
        <f>IF(E149,I149*(L149+G149)^2/L149^2,"x")</f>
        <v>x</v>
      </c>
    </row>
    <row r="150" spans="11:13" ht="12.75">
      <c r="K150" s="12" t="str">
        <f>IF(E150,ABS(E150),"x")</f>
        <v>x</v>
      </c>
      <c r="L150" s="8">
        <f>SQRT((([0]!a_^2*COS(E150*[0]!deg))^2+([0]!b_^2*SIN(E150*[0]!deg))^2)/(([0]!a_*COS(E150*[0]!deg))^2+([0]!b_*SIN(E150*[0]!deg))^2))</f>
        <v>6378100</v>
      </c>
      <c r="M150" s="7" t="str">
        <f>IF(E150,I150*(L150+G150)^2/L150^2,"x")</f>
        <v>x</v>
      </c>
    </row>
    <row r="151" spans="11:13" ht="12.75">
      <c r="K151" s="12" t="str">
        <f>IF(E151,ABS(E151),"x")</f>
        <v>x</v>
      </c>
      <c r="L151" s="8">
        <f>SQRT((([0]!a_^2*COS(E151*[0]!deg))^2+([0]!b_^2*SIN(E151*[0]!deg))^2)/(([0]!a_*COS(E151*[0]!deg))^2+([0]!b_*SIN(E151*[0]!deg))^2))</f>
        <v>6378100</v>
      </c>
      <c r="M151" s="7" t="str">
        <f>IF(E151,I151*(L151+G151)^2/L151^2,"x")</f>
        <v>x</v>
      </c>
    </row>
    <row r="152" spans="11:13" ht="12.75">
      <c r="K152" s="12" t="str">
        <f>IF(E152,ABS(E152),"x")</f>
        <v>x</v>
      </c>
      <c r="L152" s="8">
        <f>SQRT((([0]!a_^2*COS(E152*[0]!deg))^2+([0]!b_^2*SIN(E152*[0]!deg))^2)/(([0]!a_*COS(E152*[0]!deg))^2+([0]!b_*SIN(E152*[0]!deg))^2))</f>
        <v>6378100</v>
      </c>
      <c r="M152" s="7" t="str">
        <f>IF(E152,I152*(L152+G152)^2/L152^2,"x")</f>
        <v>x</v>
      </c>
    </row>
    <row r="153" spans="11:13" ht="12.75">
      <c r="K153" s="12" t="str">
        <f>IF(E153,ABS(E153),"x")</f>
        <v>x</v>
      </c>
      <c r="L153" s="8">
        <f>SQRT((([0]!a_^2*COS(E153*[0]!deg))^2+([0]!b_^2*SIN(E153*[0]!deg))^2)/(([0]!a_*COS(E153*[0]!deg))^2+([0]!b_*SIN(E153*[0]!deg))^2))</f>
        <v>6378100</v>
      </c>
      <c r="M153" s="7" t="str">
        <f>IF(E153,I153*(L153+G153)^2/L153^2,"x")</f>
        <v>x</v>
      </c>
    </row>
    <row r="154" spans="11:13" ht="12.75">
      <c r="K154" s="12" t="str">
        <f>IF(E154,ABS(E154),"x")</f>
        <v>x</v>
      </c>
      <c r="L154" s="8">
        <f>SQRT((([0]!a_^2*COS(E154*[0]!deg))^2+([0]!b_^2*SIN(E154*[0]!deg))^2)/(([0]!a_*COS(E154*[0]!deg))^2+([0]!b_*SIN(E154*[0]!deg))^2))</f>
        <v>6378100</v>
      </c>
      <c r="M154" s="7" t="str">
        <f>IF(E154,I154*(L154+G154)^2/L154^2,"x")</f>
        <v>x</v>
      </c>
    </row>
    <row r="155" spans="11:13" ht="12.75">
      <c r="K155" s="12" t="str">
        <f>IF(E155,ABS(E155),"x")</f>
        <v>x</v>
      </c>
      <c r="L155" s="8">
        <f>SQRT((([0]!a_^2*COS(E155*[0]!deg))^2+([0]!b_^2*SIN(E155*[0]!deg))^2)/(([0]!a_*COS(E155*[0]!deg))^2+([0]!b_*SIN(E155*[0]!deg))^2))</f>
        <v>6378100</v>
      </c>
      <c r="M155" s="7" t="str">
        <f>IF(E155,I155*(L155+G155)^2/L155^2,"x")</f>
        <v>x</v>
      </c>
    </row>
    <row r="156" spans="12:13" ht="12.75">
      <c r="L156" s="8"/>
      <c r="M156" s="7"/>
    </row>
    <row r="157" spans="12:13" ht="12.75">
      <c r="L157" s="8"/>
      <c r="M157" s="7"/>
    </row>
    <row r="158" spans="12:13" ht="12.75">
      <c r="L158" s="8"/>
      <c r="M158" s="7"/>
    </row>
    <row r="159" spans="12:13" ht="12.75">
      <c r="L159" s="8"/>
      <c r="M159" s="7"/>
    </row>
    <row r="160" spans="12:13" ht="12.75">
      <c r="L160" s="8"/>
      <c r="M160" s="7"/>
    </row>
    <row r="161" spans="12:13" ht="12.75">
      <c r="L161" s="8"/>
      <c r="M161" s="7"/>
    </row>
    <row r="162" spans="12:13" ht="12.75">
      <c r="L162" s="8"/>
      <c r="M162" s="7"/>
    </row>
    <row r="163" spans="12:13" ht="12.75">
      <c r="L163" s="8"/>
      <c r="M163" s="7"/>
    </row>
    <row r="164" spans="12:13" ht="12.75">
      <c r="L164" s="8"/>
      <c r="M164" s="7"/>
    </row>
    <row r="165" spans="12:13" ht="12.75">
      <c r="L165" s="8"/>
      <c r="M165" s="7"/>
    </row>
    <row r="166" spans="12:13" ht="12.75">
      <c r="L166" s="8"/>
      <c r="M166" s="7"/>
    </row>
    <row r="167" spans="12:13" ht="12.75">
      <c r="L167" s="8"/>
      <c r="M167" s="7"/>
    </row>
    <row r="168" spans="12:13" ht="12.75">
      <c r="L168" s="8"/>
      <c r="M168" s="7"/>
    </row>
    <row r="169" spans="12:13" ht="12.75">
      <c r="L169" s="8"/>
      <c r="M169" s="7"/>
    </row>
    <row r="170" spans="12:13" ht="12.75">
      <c r="L170" s="8"/>
      <c r="M170" s="7"/>
    </row>
    <row r="171" spans="12:13" ht="12.75">
      <c r="L171" s="8"/>
      <c r="M171" s="7"/>
    </row>
    <row r="172" spans="12:13" ht="12.75">
      <c r="L172" s="8"/>
      <c r="M172" s="7"/>
    </row>
    <row r="173" spans="12:13" ht="12.75">
      <c r="L173" s="8"/>
      <c r="M173" s="7"/>
    </row>
    <row r="174" spans="12:13" ht="12.75">
      <c r="L174" s="8"/>
      <c r="M174" s="7"/>
    </row>
    <row r="175" spans="12:13" ht="12.75">
      <c r="L175" s="8"/>
      <c r="M175" s="7"/>
    </row>
    <row r="176" spans="12:13" ht="12.75">
      <c r="L176" s="8"/>
      <c r="M176" s="7"/>
    </row>
    <row r="177" spans="12:13" ht="12.75">
      <c r="L177" s="8"/>
      <c r="M177" s="7"/>
    </row>
    <row r="178" spans="12:13" ht="12.75">
      <c r="L178" s="8"/>
      <c r="M178" s="7"/>
    </row>
    <row r="179" spans="12:13" ht="12.75">
      <c r="L179" s="8"/>
      <c r="M179" s="7"/>
    </row>
    <row r="180" spans="12:13" ht="12.75">
      <c r="L180" s="8"/>
      <c r="M180" s="7"/>
    </row>
    <row r="181" spans="12:13" ht="12.75">
      <c r="L181" s="8"/>
      <c r="M181" s="7"/>
    </row>
    <row r="182" spans="12:13" ht="12.75">
      <c r="L182" s="8"/>
      <c r="M182" s="7"/>
    </row>
    <row r="183" spans="12:13" ht="12.75">
      <c r="L183" s="8"/>
      <c r="M183" s="7"/>
    </row>
    <row r="184" spans="12:13" ht="12.75">
      <c r="L184" s="8"/>
      <c r="M184" s="7"/>
    </row>
    <row r="185" spans="12:13" ht="12.75">
      <c r="L185" s="8"/>
      <c r="M185" s="7"/>
    </row>
    <row r="186" spans="12:13" ht="12.75">
      <c r="L186" s="8"/>
      <c r="M186" s="7"/>
    </row>
    <row r="187" spans="12:13" ht="12.75">
      <c r="L187" s="8"/>
      <c r="M187" s="7"/>
    </row>
    <row r="188" spans="12:13" ht="12.75">
      <c r="L188" s="8"/>
      <c r="M188" s="7"/>
    </row>
    <row r="189" spans="12:13" ht="12.75">
      <c r="L189" s="8"/>
      <c r="M189" s="7"/>
    </row>
    <row r="190" spans="12:13" ht="12.75">
      <c r="L190" s="8"/>
      <c r="M190" s="7"/>
    </row>
    <row r="191" spans="12:13" ht="12.75">
      <c r="L191" s="8"/>
      <c r="M191" s="7"/>
    </row>
    <row r="192" spans="12:13" ht="12.75">
      <c r="L192" s="8"/>
      <c r="M192" s="7"/>
    </row>
    <row r="193" spans="12:13" ht="12.75">
      <c r="L193" s="8"/>
      <c r="M193" s="7"/>
    </row>
    <row r="194" spans="12:13" ht="12.75">
      <c r="L194" s="8"/>
      <c r="M194" s="7"/>
    </row>
    <row r="195" spans="12:13" ht="12.75">
      <c r="L195" s="8"/>
      <c r="M195" s="7"/>
    </row>
    <row r="196" spans="12:13" ht="12.75">
      <c r="L196" s="8"/>
      <c r="M196" s="7"/>
    </row>
    <row r="197" spans="12:13" ht="12.75">
      <c r="L197" s="8"/>
      <c r="M197" s="7"/>
    </row>
    <row r="198" spans="12:13" ht="12.75">
      <c r="L198" s="8"/>
      <c r="M198" s="7"/>
    </row>
    <row r="199" spans="12:13" ht="12.75">
      <c r="L199" s="8"/>
      <c r="M199" s="7"/>
    </row>
    <row r="200" spans="12:13" ht="12.75">
      <c r="L200" s="8"/>
      <c r="M200" s="7"/>
    </row>
    <row r="201" spans="12:13" ht="12.75">
      <c r="L201" s="8"/>
      <c r="M201" s="7"/>
    </row>
    <row r="202" spans="12:13" ht="12.75">
      <c r="L202" s="8"/>
      <c r="M202" s="7"/>
    </row>
    <row r="203" spans="12:13" ht="12.75">
      <c r="L203" s="8"/>
      <c r="M203" s="7"/>
    </row>
    <row r="204" spans="12:13" ht="12.75">
      <c r="L204" s="8"/>
      <c r="M204" s="7"/>
    </row>
    <row r="205" spans="12:13" ht="12.75">
      <c r="L205" s="8"/>
      <c r="M205" s="7"/>
    </row>
    <row r="206" spans="12:13" ht="12.75">
      <c r="L206" s="8"/>
      <c r="M206" s="7"/>
    </row>
    <row r="207" spans="12:13" ht="12.75">
      <c r="L207" s="8"/>
      <c r="M207" s="7"/>
    </row>
    <row r="208" spans="12:13" ht="12.75">
      <c r="L208" s="8"/>
      <c r="M208" s="7"/>
    </row>
    <row r="209" spans="12:13" ht="12.75">
      <c r="L209" s="8"/>
      <c r="M209" s="7"/>
    </row>
    <row r="210" spans="12:13" ht="12.75">
      <c r="L210" s="8"/>
      <c r="M210" s="7"/>
    </row>
    <row r="211" spans="12:13" ht="12.75">
      <c r="L211" s="8"/>
      <c r="M211" s="7"/>
    </row>
    <row r="212" spans="12:13" ht="12.75">
      <c r="L212" s="8"/>
      <c r="M212" s="7"/>
    </row>
    <row r="213" spans="12:13" ht="12.75">
      <c r="L213" s="8"/>
      <c r="M213" s="7"/>
    </row>
    <row r="214" spans="12:13" ht="12.75">
      <c r="L214" s="8"/>
      <c r="M214" s="7"/>
    </row>
    <row r="215" spans="12:13" ht="12.75">
      <c r="L215" s="8"/>
      <c r="M215" s="7"/>
    </row>
    <row r="216" spans="12:13" ht="12.75">
      <c r="L216" s="8"/>
      <c r="M216" s="7"/>
    </row>
    <row r="217" spans="12:13" ht="12.75">
      <c r="L217" s="8"/>
      <c r="M217" s="7"/>
    </row>
    <row r="218" spans="12:13" ht="12.75">
      <c r="L218" s="8"/>
      <c r="M218" s="7"/>
    </row>
    <row r="219" spans="12:13" ht="12.75">
      <c r="L219" s="8"/>
      <c r="M219" s="7"/>
    </row>
    <row r="220" spans="12:13" ht="12.75">
      <c r="L220" s="8"/>
      <c r="M220" s="7"/>
    </row>
    <row r="221" spans="12:13" ht="12.75">
      <c r="L221" s="8"/>
      <c r="M221" s="7"/>
    </row>
    <row r="222" spans="12:13" ht="12.75">
      <c r="L222" s="8"/>
      <c r="M222" s="7"/>
    </row>
    <row r="223" spans="12:13" ht="12.75">
      <c r="L223" s="8"/>
      <c r="M223" s="7"/>
    </row>
    <row r="224" spans="12:13" ht="12.75">
      <c r="L224" s="8"/>
      <c r="M224" s="7"/>
    </row>
    <row r="225" spans="12:13" ht="12.75">
      <c r="L225" s="8"/>
      <c r="M225" s="7"/>
    </row>
    <row r="226" spans="12:13" ht="12.75">
      <c r="L226" s="8"/>
      <c r="M226" s="7"/>
    </row>
    <row r="227" spans="12:13" ht="12.75">
      <c r="L227" s="8"/>
      <c r="M227" s="7"/>
    </row>
    <row r="228" spans="12:13" ht="12.75">
      <c r="L228" s="8"/>
      <c r="M228" s="7"/>
    </row>
    <row r="229" spans="12:13" ht="12.75">
      <c r="L229" s="8"/>
      <c r="M229" s="7"/>
    </row>
    <row r="230" spans="12:13" ht="12.75">
      <c r="L230" s="8"/>
      <c r="M230" s="7"/>
    </row>
    <row r="231" spans="12:13" ht="12.75">
      <c r="L231" s="8"/>
      <c r="M231" s="7"/>
    </row>
    <row r="232" spans="12:13" ht="12.75">
      <c r="L232" s="8"/>
      <c r="M232" s="7"/>
    </row>
    <row r="233" spans="12:13" ht="12.75">
      <c r="L233" s="8"/>
      <c r="M233" s="7"/>
    </row>
    <row r="234" spans="12:13" ht="12.75">
      <c r="L234" s="8"/>
      <c r="M234" s="7"/>
    </row>
    <row r="235" spans="12:13" ht="12.75">
      <c r="L235" s="8"/>
      <c r="M235" s="7"/>
    </row>
    <row r="236" spans="12:13" ht="12.75">
      <c r="L236" s="8"/>
      <c r="M236" s="7"/>
    </row>
    <row r="237" spans="12:13" ht="12.75">
      <c r="L237" s="8"/>
      <c r="M237" s="7"/>
    </row>
    <row r="238" spans="12:13" ht="12.75">
      <c r="L238" s="8"/>
      <c r="M238" s="7"/>
    </row>
    <row r="239" spans="12:13" ht="12.75">
      <c r="L239" s="8"/>
      <c r="M239" s="7"/>
    </row>
    <row r="240" spans="12:13" ht="12.75">
      <c r="L240" s="8"/>
      <c r="M240" s="7"/>
    </row>
    <row r="241" spans="12:13" ht="12.75">
      <c r="L241" s="8"/>
      <c r="M241" s="7"/>
    </row>
    <row r="242" spans="12:13" ht="12.75">
      <c r="L242" s="8"/>
      <c r="M242" s="7"/>
    </row>
    <row r="243" spans="12:13" ht="12.75">
      <c r="L243" s="8"/>
      <c r="M243" s="7"/>
    </row>
    <row r="244" spans="12:13" ht="12.75">
      <c r="L244" s="8"/>
      <c r="M244" s="7"/>
    </row>
    <row r="245" spans="12:13" ht="12.75">
      <c r="L245" s="8"/>
      <c r="M245" s="7"/>
    </row>
    <row r="246" spans="12:13" ht="12.75">
      <c r="L246" s="8"/>
      <c r="M246" s="7"/>
    </row>
    <row r="247" spans="12:13" ht="12.75">
      <c r="L247" s="8"/>
      <c r="M247" s="7"/>
    </row>
    <row r="248" spans="12:13" ht="12.75">
      <c r="L248" s="8"/>
      <c r="M248" s="7"/>
    </row>
    <row r="249" spans="12:13" ht="12.75">
      <c r="L249" s="8"/>
      <c r="M249" s="7"/>
    </row>
  </sheetData>
  <sheetProtection/>
  <hyperlinks>
    <hyperlink ref="D71" r:id="rId1" display="https://en.wikipedia.org/wiki/Amsterdam"/>
    <hyperlink ref="D72" r:id="rId2" display="https://en.wikipedia.org/wiki/Anchorage"/>
    <hyperlink ref="D73" r:id="rId3" display="https://en.wikipedia.org/wiki/Athens"/>
    <hyperlink ref="D74" r:id="rId4" display="https://en.wikipedia.org/wiki/Auckland"/>
    <hyperlink ref="D75" r:id="rId5" display="https://en.wikipedia.org/wiki/Bangkok"/>
    <hyperlink ref="D76" r:id="rId6" display="https://en.wikipedia.org/wiki/Birmingham"/>
    <hyperlink ref="D77" r:id="rId7" display="https://en.wikipedia.org/wiki/Brussels"/>
    <hyperlink ref="D78" r:id="rId8" display="https://en.wikipedia.org/wiki/Buenos_Aires"/>
    <hyperlink ref="D79" r:id="rId9" display="https://en.wikipedia.org/wiki/Cape_Town"/>
    <hyperlink ref="D80" r:id="rId10" display="https://en.wikipedia.org/wiki/Chicago"/>
    <hyperlink ref="D81" r:id="rId11" display="https://en.wikipedia.org/wiki/Copenhagen"/>
    <hyperlink ref="D82" r:id="rId12" display="https://en.wikipedia.org/wiki/Denver"/>
    <hyperlink ref="D83" r:id="rId13" display="https://en.wikipedia.org/wiki/Frankfurt"/>
    <hyperlink ref="D84" r:id="rId14" display="https://en.wikipedia.org/wiki/Havana"/>
    <hyperlink ref="D85" r:id="rId15" display="https://en.wikipedia.org/wiki/Helsinki"/>
    <hyperlink ref="D86" r:id="rId16" display="https://en.wikipedia.org/wiki/Hong_Kong"/>
    <hyperlink ref="D87" r:id="rId17" display="https://en.wikipedia.org/wiki/Istanbul"/>
    <hyperlink ref="D88" r:id="rId18" display="https://en.wikipedia.org/wiki/Jakarta"/>
    <hyperlink ref="D89" r:id="rId19" display="https://en.wikipedia.org/wiki/Kandy"/>
    <hyperlink ref="D90" r:id="rId20" display="https://en.wikipedia.org/wiki/Kolkata"/>
    <hyperlink ref="D91" r:id="rId21" display="https://en.wikipedia.org/wiki/Kuala_Lumpur"/>
    <hyperlink ref="D92" r:id="rId22" display="https://en.wikipedia.org/wiki/Kuwait_City"/>
    <hyperlink ref="D93" r:id="rId23" display="https://en.wikipedia.org/wiki/Lisbon"/>
    <hyperlink ref="D94" r:id="rId24" display="https://en.wikipedia.org/wiki/London"/>
    <hyperlink ref="D95" r:id="rId25" display="https://en.wikipedia.org/wiki/Los_Angeles"/>
    <hyperlink ref="D96" r:id="rId26" display="https://en.wikipedia.org/wiki/Madrid"/>
    <hyperlink ref="D97" r:id="rId27" display="https://en.wikipedia.org/wiki/Manchester"/>
    <hyperlink ref="D98" r:id="rId28" display="https://en.wikipedia.org/wiki/Manila"/>
    <hyperlink ref="D99" r:id="rId29" display="https://en.wikipedia.org/wiki/Melbourne"/>
    <hyperlink ref="D100" r:id="rId30" display="https://en.wikipedia.org/wiki/Mexico_City"/>
    <hyperlink ref="D101" r:id="rId31" display="https://en.wikipedia.org/wiki/Montr%C3%A9al"/>
    <hyperlink ref="D102" r:id="rId32" display="https://en.wikipedia.org/wiki/New_York_City"/>
    <hyperlink ref="D103" r:id="rId33" display="https://en.wikipedia.org/wiki/Nicosia"/>
    <hyperlink ref="D104" r:id="rId34" display="https://en.wikipedia.org/wiki/Oslo"/>
    <hyperlink ref="D105" r:id="rId35" display="https://en.wikipedia.org/wiki/Ottawa"/>
    <hyperlink ref="D106" r:id="rId36" display="https://en.wikipedia.org/wiki/Paris"/>
    <hyperlink ref="D107" r:id="rId37" display="https://en.wikipedia.org/wiki/Perth"/>
    <hyperlink ref="D108" r:id="rId38" display="https://en.wikipedia.org/wiki/Rio_de_Janeiro"/>
    <hyperlink ref="D109" r:id="rId39" display="https://en.wikipedia.org/wiki/Rome"/>
    <hyperlink ref="D110" r:id="rId40" display="https://en.wikipedia.org/wiki/Seattle"/>
    <hyperlink ref="D111" r:id="rId41" display="https://en.wikipedia.org/wiki/Singapore"/>
    <hyperlink ref="D112" r:id="rId42" display="https://en.wikipedia.org/wiki/Skopje"/>
    <hyperlink ref="D113" r:id="rId43" display="https://en.wikipedia.org/wiki/Stockholm"/>
    <hyperlink ref="D114" r:id="rId44" display="https://en.wikipedia.org/wiki/Sydney"/>
    <hyperlink ref="D115" r:id="rId45" display="https://en.wikipedia.org/wiki/Taipei"/>
    <hyperlink ref="D116" r:id="rId46" display="https://en.wikipedia.org/wiki/Tokyo"/>
    <hyperlink ref="D117" r:id="rId47" display="https://en.wikipedia.org/wiki/Toronto"/>
    <hyperlink ref="D118" r:id="rId48" display="https://en.wikipedia.org/wiki/Vancouver"/>
    <hyperlink ref="D119" r:id="rId49" display="https://en.wikipedia.org/wiki/Washington,_D.C."/>
    <hyperlink ref="D120" r:id="rId50" display="https://en.wikipedia.org/wiki/Wellington"/>
    <hyperlink ref="D121" r:id="rId51" display="https://en.wikipedia.org/wiki/Zurich"/>
  </hyperlinks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52"/>
</worksheet>
</file>

<file path=xl/worksheets/sheet3.xml><?xml version="1.0" encoding="utf-8"?>
<worksheet xmlns="http://schemas.openxmlformats.org/spreadsheetml/2006/main" xmlns:r="http://schemas.openxmlformats.org/officeDocument/2006/relationships">
  <dimension ref="C8:J29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" width="9.125" style="12" customWidth="1"/>
    <col min="3" max="3" width="18.125" style="12" customWidth="1"/>
    <col min="4" max="4" width="15.00390625" style="12" customWidth="1"/>
    <col min="5" max="5" width="12.00390625" style="12" bestFit="1" customWidth="1"/>
    <col min="6" max="6" width="3.625" style="12" customWidth="1"/>
    <col min="7" max="7" width="13.75390625" style="12" customWidth="1"/>
    <col min="8" max="8" width="9.125" style="12" customWidth="1"/>
    <col min="9" max="9" width="12.375" style="12" customWidth="1"/>
    <col min="10" max="256" width="9.125" style="12" customWidth="1"/>
  </cols>
  <sheetData>
    <row r="8" spans="3:5" ht="13.5">
      <c r="C8" s="12" t="s">
        <v>145</v>
      </c>
      <c r="D8" s="12">
        <v>384400000</v>
      </c>
      <c r="E8" s="12" t="s">
        <v>12</v>
      </c>
    </row>
    <row r="9" ht="13.5"/>
    <row r="10" spans="3:5" ht="13.5">
      <c r="C10" s="12" t="s">
        <v>146</v>
      </c>
      <c r="D10" s="12">
        <v>27.3217</v>
      </c>
      <c r="E10" s="12" t="s">
        <v>31</v>
      </c>
    </row>
    <row r="11" spans="3:5" ht="13.5">
      <c r="C11" s="12" t="s">
        <v>146</v>
      </c>
      <c r="D11" s="12">
        <f>D10*day</f>
        <v>2360594.88</v>
      </c>
      <c r="E11" s="12" t="s">
        <v>29</v>
      </c>
    </row>
    <row r="12" spans="3:5" ht="13.5">
      <c r="C12" s="12" t="s">
        <v>147</v>
      </c>
      <c r="D12" s="12">
        <f>2*PI()/D11</f>
        <v>2.6616957278072153E-06</v>
      </c>
      <c r="E12" s="12" t="s">
        <v>148</v>
      </c>
    </row>
    <row r="13" ht="13.5"/>
    <row r="14" spans="3:5" ht="13.5">
      <c r="C14" s="12" t="s">
        <v>149</v>
      </c>
      <c r="D14" s="12">
        <v>7.349E+22</v>
      </c>
      <c r="E14" s="12" t="s">
        <v>5</v>
      </c>
    </row>
    <row r="15" spans="3:5" ht="13.5">
      <c r="C15" s="12" t="s">
        <v>150</v>
      </c>
      <c r="D15" s="12">
        <v>5.9736E+24</v>
      </c>
      <c r="E15" s="12" t="s">
        <v>5</v>
      </c>
    </row>
    <row r="16" ht="13.5"/>
    <row r="17" spans="3:4" ht="13.5">
      <c r="C17" s="12" t="s">
        <v>151</v>
      </c>
      <c r="D17" s="12">
        <f>D14/(D14+D15)</f>
        <v>0.012152952907927615</v>
      </c>
    </row>
    <row r="18" ht="13.5"/>
    <row r="19" spans="3:10" ht="13.5">
      <c r="C19" s="12" t="s">
        <v>152</v>
      </c>
      <c r="D19" s="12">
        <f>D8*D17</f>
        <v>4671595.097807375</v>
      </c>
      <c r="E19" s="12" t="s">
        <v>12</v>
      </c>
      <c r="G19" s="12">
        <f>D19/1000</f>
        <v>4671.595097807375</v>
      </c>
      <c r="H19" s="12" t="s">
        <v>153</v>
      </c>
      <c r="I19" s="6">
        <f>D19/mile</f>
        <v>2902.794615574653</v>
      </c>
      <c r="J19" s="12" t="s">
        <v>154</v>
      </c>
    </row>
    <row r="20" spans="3:5" ht="12.75">
      <c r="C20" s="12" t="s">
        <v>155</v>
      </c>
      <c r="D20" s="12">
        <v>6371000</v>
      </c>
      <c r="E20" s="12" t="s">
        <v>12</v>
      </c>
    </row>
    <row r="21" spans="3:4" ht="12.75">
      <c r="C21" s="12" t="s">
        <v>156</v>
      </c>
      <c r="D21" s="12">
        <f>D19/D20</f>
        <v>0.7332593153048775</v>
      </c>
    </row>
    <row r="23" spans="3:8" ht="13.5">
      <c r="C23" s="12" t="s">
        <v>157</v>
      </c>
      <c r="D23" s="12">
        <f>D19*D12*D12</f>
        <v>3.309649543692857E-05</v>
      </c>
      <c r="E23" s="12" t="s">
        <v>13</v>
      </c>
      <c r="G23" s="12">
        <f>D23/gstd</f>
        <v>3.374903298978609E-06</v>
      </c>
      <c r="H23" s="12" t="s">
        <v>158</v>
      </c>
    </row>
    <row r="24" ht="13.5"/>
    <row r="29" spans="3:8" ht="12.75">
      <c r="C29" s="12" t="s">
        <v>159</v>
      </c>
      <c r="D29" s="12">
        <f>bigG*D14/D8/D8</f>
        <v>3.319448320612092E-05</v>
      </c>
      <c r="E29" s="12" t="s">
        <v>13</v>
      </c>
      <c r="G29" s="12">
        <f>D29/gstd</f>
        <v>3.3848952706705066E-06</v>
      </c>
      <c r="H29" s="12" t="s">
        <v>158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5" width="9.125" style="12" customWidth="1"/>
    <col min="6" max="6" width="20.75390625" style="12" bestFit="1" customWidth="1"/>
    <col min="7" max="256" width="9.125" style="12" customWidth="1"/>
  </cols>
  <sheetData>
    <row r="1" ht="13.5">
      <c r="A1" s="12" t="s">
        <v>160</v>
      </c>
    </row>
    <row r="2" ht="13.5">
      <c r="A2" s="12" t="s">
        <v>161</v>
      </c>
    </row>
    <row r="3" ht="13.5">
      <c r="A3" s="12" t="s">
        <v>162</v>
      </c>
    </row>
    <row r="4" ht="13.5"/>
    <row r="5" ht="13.5">
      <c r="A5" s="12" t="s">
        <v>163</v>
      </c>
    </row>
    <row r="6" ht="13.5">
      <c r="A6" s="12" t="s">
        <v>164</v>
      </c>
    </row>
    <row r="7" ht="13.5"/>
    <row r="8" ht="13.5"/>
    <row r="9" ht="13.5"/>
    <row r="10" ht="13.5">
      <c r="A10" s="12" t="s">
        <v>165</v>
      </c>
    </row>
    <row r="11" ht="13.5">
      <c r="A11" s="12" t="s">
        <v>166</v>
      </c>
    </row>
    <row r="14" spans="1:6" ht="12.75">
      <c r="A14" s="12" t="s">
        <v>167</v>
      </c>
      <c r="C14" s="12">
        <v>6371</v>
      </c>
      <c r="D14" s="12" t="s">
        <v>153</v>
      </c>
      <c r="F14" s="12">
        <f>C14*C14</f>
        <v>40589641</v>
      </c>
    </row>
    <row r="15" spans="1:4" ht="12.75">
      <c r="A15" s="12" t="s">
        <v>168</v>
      </c>
      <c r="C15" s="12">
        <v>460</v>
      </c>
      <c r="D15" s="12" t="s">
        <v>153</v>
      </c>
    </row>
    <row r="16" spans="1:6" ht="12.75">
      <c r="A16" s="12" t="s">
        <v>169</v>
      </c>
      <c r="C16" s="12">
        <f>C15+C14</f>
        <v>6831</v>
      </c>
      <c r="D16" s="12" t="s">
        <v>153</v>
      </c>
      <c r="F16" s="12">
        <f>C16*C16</f>
        <v>46662561</v>
      </c>
    </row>
    <row r="18" ht="12.75">
      <c r="F18" s="12">
        <f>F14/F16</f>
        <v>0.8698545499892302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zoomScaleSheetLayoutView="1" workbookViewId="0" topLeftCell="A2">
      <selection activeCell="A45" sqref="A45"/>
    </sheetView>
  </sheetViews>
  <sheetFormatPr defaultColWidth="9.00390625" defaultRowHeight="12.75"/>
  <cols>
    <col min="1" max="1" width="25.25390625" style="12" customWidth="1"/>
    <col min="2" max="2" width="11.125" style="12" bestFit="1" customWidth="1"/>
    <col min="3" max="3" width="12.25390625" style="12" bestFit="1" customWidth="1"/>
    <col min="4" max="4" width="15.25390625" style="12" customWidth="1"/>
    <col min="5" max="5" width="9.125" style="12" customWidth="1"/>
    <col min="6" max="6" width="13.875" style="12" customWidth="1"/>
    <col min="7" max="7" width="15.875" style="12" customWidth="1"/>
    <col min="8" max="256" width="9.125" style="12" customWidth="1"/>
  </cols>
  <sheetData>
    <row r="1" spans="2:10" ht="13.5">
      <c r="B1" s="66" t="s">
        <v>170</v>
      </c>
      <c r="C1" s="66" t="s">
        <v>171</v>
      </c>
      <c r="D1" s="66" t="s">
        <v>172</v>
      </c>
      <c r="F1" s="66" t="s">
        <v>173</v>
      </c>
      <c r="G1" s="66" t="s">
        <v>174</v>
      </c>
      <c r="H1" s="66" t="s">
        <v>175</v>
      </c>
      <c r="I1" s="66" t="s">
        <v>176</v>
      </c>
      <c r="J1" s="66" t="s">
        <v>177</v>
      </c>
    </row>
    <row r="2" spans="1:6" ht="13.5">
      <c r="A2" s="66" t="s">
        <v>178</v>
      </c>
      <c r="B2" s="12" t="s">
        <v>179</v>
      </c>
      <c r="C2" s="12" t="s">
        <v>179</v>
      </c>
      <c r="D2" s="12" t="s">
        <v>12</v>
      </c>
      <c r="E2" s="65" t="s">
        <v>180</v>
      </c>
      <c r="F2" s="12" t="s">
        <v>13</v>
      </c>
    </row>
    <row r="3" spans="1:10" ht="13.5">
      <c r="A3" s="12" t="s">
        <v>82</v>
      </c>
      <c r="B3" s="12">
        <v>52.366667</v>
      </c>
      <c r="C3" s="12">
        <v>4.9</v>
      </c>
      <c r="D3" s="12">
        <v>2</v>
      </c>
      <c r="F3" s="12">
        <v>9.817</v>
      </c>
      <c r="G3" s="12">
        <v>9.81289</v>
      </c>
      <c r="H3" s="12">
        <v>-3E-05</v>
      </c>
      <c r="I3" s="12">
        <v>-0.00013</v>
      </c>
      <c r="J3" s="12">
        <v>-9.81289</v>
      </c>
    </row>
    <row r="4" spans="1:10" ht="13.5">
      <c r="A4" s="12" t="s">
        <v>83</v>
      </c>
      <c r="B4" s="12">
        <v>61.216667</v>
      </c>
      <c r="C4" s="12">
        <v>-149.9</v>
      </c>
      <c r="D4" s="12">
        <v>31</v>
      </c>
      <c r="F4" s="12">
        <v>9.826</v>
      </c>
      <c r="G4" s="12">
        <v>9.81919</v>
      </c>
      <c r="H4" s="12">
        <v>0.00097</v>
      </c>
      <c r="I4" s="12">
        <v>-0.00016</v>
      </c>
      <c r="J4" s="12">
        <v>-9.81919</v>
      </c>
    </row>
    <row r="5" spans="1:10" ht="13.5">
      <c r="A5" s="12" t="s">
        <v>84</v>
      </c>
      <c r="B5" s="12">
        <v>37.966667</v>
      </c>
      <c r="C5" s="12">
        <v>23.716667</v>
      </c>
      <c r="D5" s="12">
        <v>200</v>
      </c>
      <c r="E5" s="12">
        <v>130</v>
      </c>
      <c r="F5" s="12">
        <v>9.8</v>
      </c>
      <c r="G5" s="12">
        <v>9.80017</v>
      </c>
      <c r="H5" s="12">
        <v>0.00048</v>
      </c>
      <c r="I5" s="12">
        <v>0.00019</v>
      </c>
      <c r="J5" s="12">
        <v>-9.80017</v>
      </c>
    </row>
    <row r="6" spans="1:10" ht="13.5">
      <c r="A6" s="12" t="s">
        <v>85</v>
      </c>
      <c r="B6" s="12">
        <v>-36.840556</v>
      </c>
      <c r="C6" s="12">
        <v>174.74</v>
      </c>
      <c r="D6" s="12">
        <v>196</v>
      </c>
      <c r="F6" s="12">
        <v>9.799</v>
      </c>
      <c r="G6" s="12">
        <v>9.79901</v>
      </c>
      <c r="H6" s="12">
        <v>0.00024</v>
      </c>
      <c r="I6" s="12">
        <v>0.00037</v>
      </c>
      <c r="J6" s="12">
        <v>-9.79901</v>
      </c>
    </row>
    <row r="7" spans="1:10" ht="13.5">
      <c r="A7" s="12" t="s">
        <v>86</v>
      </c>
      <c r="B7" s="12">
        <v>13.75</v>
      </c>
      <c r="C7" s="12">
        <v>100.466667</v>
      </c>
      <c r="D7" s="12">
        <v>1.5</v>
      </c>
      <c r="F7" s="12">
        <v>9.78</v>
      </c>
      <c r="G7" s="12">
        <v>9.78291</v>
      </c>
      <c r="H7" s="12">
        <v>0.00026</v>
      </c>
      <c r="I7" s="12">
        <v>-0.00015</v>
      </c>
      <c r="J7" s="12">
        <v>-9.78291</v>
      </c>
    </row>
    <row r="8" spans="1:10" ht="13.5">
      <c r="A8" s="12" t="s">
        <v>87</v>
      </c>
      <c r="B8" s="12">
        <v>52.483056</v>
      </c>
      <c r="C8" s="12">
        <v>-1.893611</v>
      </c>
      <c r="D8" s="12">
        <v>140</v>
      </c>
      <c r="F8" s="12">
        <v>9.817</v>
      </c>
      <c r="G8" s="12">
        <v>9.81278</v>
      </c>
      <c r="H8" s="12">
        <v>-0.00041</v>
      </c>
      <c r="I8" s="12">
        <v>0.00019</v>
      </c>
      <c r="J8" s="12">
        <v>-9.81278</v>
      </c>
    </row>
    <row r="9" spans="1:10" ht="13.5">
      <c r="A9" s="12" t="s">
        <v>71</v>
      </c>
      <c r="B9" s="12">
        <v>50.85</v>
      </c>
      <c r="C9" s="12">
        <v>4.35</v>
      </c>
      <c r="D9" s="12">
        <v>13</v>
      </c>
      <c r="F9" s="12">
        <v>9.815</v>
      </c>
      <c r="G9" s="12">
        <v>9.81164</v>
      </c>
      <c r="H9" s="12">
        <v>0.00011</v>
      </c>
      <c r="I9" s="12">
        <v>-0.0001</v>
      </c>
      <c r="J9" s="12">
        <v>-9.81164</v>
      </c>
    </row>
    <row r="10" spans="1:10" ht="13.5">
      <c r="A10" s="12" t="s">
        <v>88</v>
      </c>
      <c r="B10" s="12">
        <v>-34.603333</v>
      </c>
      <c r="C10" s="12">
        <v>-58.381667</v>
      </c>
      <c r="D10" s="12">
        <v>25</v>
      </c>
      <c r="F10" s="12">
        <v>9.797</v>
      </c>
      <c r="G10" s="12">
        <v>9.79694</v>
      </c>
      <c r="H10" s="12">
        <v>-2E-05</v>
      </c>
      <c r="I10" s="12">
        <v>-3E-05</v>
      </c>
      <c r="J10" s="12">
        <v>-9.79694</v>
      </c>
    </row>
    <row r="11" spans="1:10" ht="13.5">
      <c r="A11" s="12" t="s">
        <v>89</v>
      </c>
      <c r="B11" s="12">
        <v>-33.925278</v>
      </c>
      <c r="C11" s="12">
        <v>18.423889</v>
      </c>
      <c r="D11" s="12">
        <v>1590.4</v>
      </c>
      <c r="F11" s="12">
        <v>9.796</v>
      </c>
      <c r="G11" s="12">
        <v>9.79165</v>
      </c>
      <c r="H11" s="12">
        <v>3E-05</v>
      </c>
      <c r="I11" s="12">
        <v>-1E-05</v>
      </c>
      <c r="J11" s="12">
        <v>-9.79165</v>
      </c>
    </row>
    <row r="12" spans="1:10" ht="13.5">
      <c r="A12" s="12" t="s">
        <v>74</v>
      </c>
      <c r="B12" s="12">
        <v>41.836944</v>
      </c>
      <c r="C12" s="12">
        <v>-87.684722</v>
      </c>
      <c r="D12" s="12">
        <v>181</v>
      </c>
      <c r="F12" s="12">
        <v>9.804</v>
      </c>
      <c r="G12" s="12">
        <v>9.80267</v>
      </c>
      <c r="H12" s="12">
        <v>-6E-05</v>
      </c>
      <c r="I12" s="12">
        <v>-0.0001</v>
      </c>
      <c r="J12" s="12">
        <v>-9.80267</v>
      </c>
    </row>
    <row r="13" spans="1:10" ht="13.5">
      <c r="A13" s="12" t="s">
        <v>90</v>
      </c>
      <c r="B13" s="12">
        <v>55.676111</v>
      </c>
      <c r="C13" s="12">
        <v>12.568333</v>
      </c>
      <c r="D13" s="12">
        <v>46</v>
      </c>
      <c r="E13" s="12">
        <v>45</v>
      </c>
      <c r="F13" s="12">
        <v>9.821</v>
      </c>
      <c r="G13" s="12">
        <v>9.81545</v>
      </c>
      <c r="H13" s="12">
        <v>-0.00016</v>
      </c>
      <c r="I13" s="12">
        <v>-1E-05</v>
      </c>
      <c r="J13" s="12">
        <v>-9.81545</v>
      </c>
    </row>
    <row r="14" spans="1:10" ht="13.5">
      <c r="A14" s="12" t="s">
        <v>75</v>
      </c>
      <c r="B14" s="12">
        <v>39.76185</v>
      </c>
      <c r="C14" s="12">
        <v>-104.881105</v>
      </c>
      <c r="D14" s="12">
        <v>1650</v>
      </c>
      <c r="E14" s="12">
        <v>80</v>
      </c>
      <c r="F14" s="12">
        <v>9.798</v>
      </c>
      <c r="G14" s="12">
        <v>9.79605</v>
      </c>
      <c r="H14" s="12">
        <v>-0.0003</v>
      </c>
      <c r="I14" s="12">
        <v>-0.00012</v>
      </c>
      <c r="J14" s="12">
        <v>-9.79605</v>
      </c>
    </row>
    <row r="15" spans="1:10" ht="13.5">
      <c r="A15" s="12" t="s">
        <v>91</v>
      </c>
      <c r="B15" s="12">
        <v>50.116667</v>
      </c>
      <c r="C15" s="12">
        <v>8.683333</v>
      </c>
      <c r="D15" s="12">
        <v>113</v>
      </c>
      <c r="F15" s="12">
        <v>9.814</v>
      </c>
      <c r="G15" s="12">
        <v>9.8107</v>
      </c>
      <c r="H15" s="12">
        <v>6E-05</v>
      </c>
      <c r="I15" s="12">
        <v>-2E-05</v>
      </c>
      <c r="J15" s="12">
        <v>-9.8107</v>
      </c>
    </row>
    <row r="16" spans="1:10" ht="13.5">
      <c r="A16" s="12" t="s">
        <v>92</v>
      </c>
      <c r="B16" s="12">
        <v>23.133333</v>
      </c>
      <c r="C16" s="12">
        <v>-82.383333</v>
      </c>
      <c r="D16" s="12">
        <v>59</v>
      </c>
      <c r="F16" s="12">
        <v>9.786</v>
      </c>
      <c r="G16" s="12">
        <v>9.788</v>
      </c>
      <c r="H16" s="12">
        <v>0.00016</v>
      </c>
      <c r="I16" s="12">
        <v>-0.00117</v>
      </c>
      <c r="J16" s="12">
        <v>-9.788</v>
      </c>
    </row>
    <row r="17" spans="1:10" ht="13.5">
      <c r="A17" s="12" t="s">
        <v>93</v>
      </c>
      <c r="B17" s="12">
        <v>60.170833</v>
      </c>
      <c r="C17" s="12">
        <v>24.9375</v>
      </c>
      <c r="D17" s="12">
        <v>51</v>
      </c>
      <c r="F17" s="12">
        <v>9.825</v>
      </c>
      <c r="G17" s="12">
        <v>9.81895</v>
      </c>
      <c r="H17" s="12">
        <v>-0.0003</v>
      </c>
      <c r="I17" s="12">
        <v>2E-05</v>
      </c>
      <c r="J17" s="12">
        <v>-9.81895</v>
      </c>
    </row>
    <row r="18" spans="1:10" ht="13.5">
      <c r="A18" s="12" t="s">
        <v>94</v>
      </c>
      <c r="B18" s="12">
        <v>22.3</v>
      </c>
      <c r="C18" s="12">
        <v>114.2</v>
      </c>
      <c r="D18" s="12">
        <v>480</v>
      </c>
      <c r="E18" s="12">
        <v>480</v>
      </c>
      <c r="F18" s="12">
        <v>9.785</v>
      </c>
      <c r="G18" s="12">
        <v>9.78622</v>
      </c>
      <c r="H18" s="12">
        <v>0.00042</v>
      </c>
      <c r="I18" s="12">
        <v>-0.0002</v>
      </c>
      <c r="J18" s="12">
        <v>-9.78622</v>
      </c>
    </row>
    <row r="19" spans="1:10" ht="13.5">
      <c r="A19" s="12" t="s">
        <v>95</v>
      </c>
      <c r="B19" s="12">
        <v>41.013611</v>
      </c>
      <c r="C19" s="12">
        <v>28.955</v>
      </c>
      <c r="D19" s="12">
        <v>140</v>
      </c>
      <c r="E19" s="12">
        <v>140</v>
      </c>
      <c r="F19" s="12">
        <v>9.808</v>
      </c>
      <c r="G19" s="12">
        <v>9.80271</v>
      </c>
      <c r="H19" s="12">
        <v>-9E-05</v>
      </c>
      <c r="I19" s="12">
        <v>3E-05</v>
      </c>
      <c r="J19" s="12">
        <v>-9.80271</v>
      </c>
    </row>
    <row r="20" spans="1:10" ht="13.5">
      <c r="A20" s="12" t="s">
        <v>96</v>
      </c>
      <c r="B20" s="12">
        <v>-6.2</v>
      </c>
      <c r="C20" s="12">
        <v>106.816667</v>
      </c>
      <c r="D20" s="12">
        <v>8</v>
      </c>
      <c r="F20" s="12">
        <v>9.777</v>
      </c>
      <c r="G20" s="12">
        <v>9.78148</v>
      </c>
      <c r="H20" s="12">
        <v>0.00028</v>
      </c>
      <c r="I20" s="12">
        <v>7E-05</v>
      </c>
      <c r="J20" s="12">
        <v>-9.78148</v>
      </c>
    </row>
    <row r="21" spans="1:10" ht="13.5">
      <c r="A21" s="12" t="s">
        <v>97</v>
      </c>
      <c r="B21" s="12">
        <v>7.296389</v>
      </c>
      <c r="C21" s="12">
        <v>80.635</v>
      </c>
      <c r="D21" s="12">
        <v>500</v>
      </c>
      <c r="F21" s="12">
        <v>9.775</v>
      </c>
      <c r="G21" s="12">
        <v>9.77975</v>
      </c>
      <c r="H21" s="12">
        <v>0.00029</v>
      </c>
      <c r="I21" s="12">
        <v>-0.00025</v>
      </c>
      <c r="J21" s="12">
        <v>-9.77975</v>
      </c>
    </row>
    <row r="22" spans="1:10" ht="13.5">
      <c r="A22" s="12" t="s">
        <v>98</v>
      </c>
      <c r="B22" s="12">
        <v>22.566667</v>
      </c>
      <c r="C22" s="12">
        <v>88.366667</v>
      </c>
      <c r="D22" s="12">
        <v>9</v>
      </c>
      <c r="F22" s="12">
        <v>9.785</v>
      </c>
      <c r="G22" s="12">
        <v>9.78772</v>
      </c>
      <c r="H22" s="12">
        <v>0.00016</v>
      </c>
      <c r="I22" s="12">
        <v>4E-05</v>
      </c>
      <c r="J22" s="12">
        <v>-9.78772</v>
      </c>
    </row>
    <row r="23" spans="1:10" ht="13.5">
      <c r="A23" s="12" t="s">
        <v>99</v>
      </c>
      <c r="B23" s="12">
        <v>3.133333</v>
      </c>
      <c r="C23" s="12">
        <v>101.683333</v>
      </c>
      <c r="D23" s="12">
        <v>21.95</v>
      </c>
      <c r="F23" s="12">
        <v>9.776</v>
      </c>
      <c r="G23" s="12">
        <v>9.78039</v>
      </c>
      <c r="H23" s="12">
        <v>0.00036</v>
      </c>
      <c r="I23" s="12">
        <v>-0.00011</v>
      </c>
      <c r="J23" s="12">
        <v>-9.78039</v>
      </c>
    </row>
    <row r="24" spans="1:10" ht="13.5">
      <c r="A24" s="12" t="s">
        <v>100</v>
      </c>
      <c r="B24" s="12">
        <v>29.369722</v>
      </c>
      <c r="C24" s="12">
        <v>47.978333</v>
      </c>
      <c r="D24" s="12">
        <v>2</v>
      </c>
      <c r="F24" s="12">
        <v>9.792</v>
      </c>
      <c r="G24" s="12">
        <v>9.79254</v>
      </c>
      <c r="H24" s="12">
        <v>-0.00034</v>
      </c>
      <c r="I24" s="12">
        <v>-2E-05</v>
      </c>
      <c r="J24" s="12">
        <v>-9.79254</v>
      </c>
    </row>
    <row r="25" spans="1:10" ht="13.5">
      <c r="A25" s="12" t="s">
        <v>101</v>
      </c>
      <c r="B25" s="12">
        <v>38.713889</v>
      </c>
      <c r="C25" s="12">
        <v>-9.139444</v>
      </c>
      <c r="D25" s="12">
        <v>2</v>
      </c>
      <c r="F25" s="12">
        <v>9.801</v>
      </c>
      <c r="G25" s="12">
        <v>9.80107</v>
      </c>
      <c r="H25" s="12">
        <v>-0.00016</v>
      </c>
      <c r="I25" s="12">
        <v>0.00022</v>
      </c>
      <c r="J25" s="12">
        <v>-9.80107</v>
      </c>
    </row>
    <row r="26" spans="1:10" ht="13.5">
      <c r="A26" s="12" t="s">
        <v>102</v>
      </c>
      <c r="B26" s="12">
        <v>51.507222</v>
      </c>
      <c r="C26" s="12">
        <v>-0.1275</v>
      </c>
      <c r="D26" s="12">
        <v>35</v>
      </c>
      <c r="F26" s="12">
        <v>9.816</v>
      </c>
      <c r="G26" s="12">
        <v>9.81196</v>
      </c>
      <c r="H26" s="12">
        <v>-0.00019</v>
      </c>
      <c r="I26" s="12">
        <v>0.00013</v>
      </c>
      <c r="J26" s="12">
        <v>-9.81196</v>
      </c>
    </row>
    <row r="27" spans="1:10" ht="13.5">
      <c r="A27" s="12" t="s">
        <v>103</v>
      </c>
      <c r="B27" s="12">
        <v>34.05</v>
      </c>
      <c r="C27" s="12">
        <v>-118.25</v>
      </c>
      <c r="D27" s="12">
        <v>93</v>
      </c>
      <c r="F27" s="12">
        <v>9.796</v>
      </c>
      <c r="G27" s="12">
        <v>9.79557</v>
      </c>
      <c r="H27" s="12">
        <v>0.00027</v>
      </c>
      <c r="I27" s="12">
        <v>0.00077</v>
      </c>
      <c r="J27" s="12">
        <v>-9.79557</v>
      </c>
    </row>
    <row r="28" spans="1:10" ht="13.5">
      <c r="A28" s="12" t="s">
        <v>104</v>
      </c>
      <c r="B28" s="12">
        <v>40.383333</v>
      </c>
      <c r="C28" s="12">
        <v>-3.716667</v>
      </c>
      <c r="D28" s="12">
        <v>667</v>
      </c>
      <c r="F28" s="12">
        <v>9.8</v>
      </c>
      <c r="G28" s="12">
        <v>9.79977</v>
      </c>
      <c r="H28" s="12">
        <v>-4E-05</v>
      </c>
      <c r="I28" s="12">
        <v>1E-05</v>
      </c>
      <c r="J28" s="12">
        <v>-9.79977</v>
      </c>
    </row>
    <row r="29" spans="1:10" ht="13.5">
      <c r="A29" s="12" t="s">
        <v>105</v>
      </c>
      <c r="B29" s="12">
        <v>53.466667</v>
      </c>
      <c r="C29" s="12">
        <v>-2.233333</v>
      </c>
      <c r="D29" s="12">
        <v>38</v>
      </c>
      <c r="F29" s="12">
        <v>9.818</v>
      </c>
      <c r="G29" s="12">
        <v>9.81387</v>
      </c>
      <c r="H29" s="12">
        <v>-0.00017</v>
      </c>
      <c r="I29" s="12">
        <v>0.00011</v>
      </c>
      <c r="J29" s="12">
        <v>-9.81387</v>
      </c>
    </row>
    <row r="30" spans="1:10" ht="13.5">
      <c r="A30" s="12" t="s">
        <v>106</v>
      </c>
      <c r="B30" s="12">
        <v>14.58</v>
      </c>
      <c r="C30" s="12">
        <v>121</v>
      </c>
      <c r="D30" s="12">
        <v>16</v>
      </c>
      <c r="F30" s="12">
        <v>9.78</v>
      </c>
      <c r="G30" s="12">
        <v>9.78371</v>
      </c>
      <c r="H30" s="12">
        <v>0.00087</v>
      </c>
      <c r="I30" s="12">
        <v>1E-05</v>
      </c>
      <c r="J30" s="12">
        <v>-9.78371</v>
      </c>
    </row>
    <row r="31" spans="1:10" ht="13.5">
      <c r="A31" s="12" t="s">
        <v>107</v>
      </c>
      <c r="B31" s="12">
        <v>-37.813611</v>
      </c>
      <c r="C31" s="12">
        <v>144.963056</v>
      </c>
      <c r="D31" s="12">
        <v>31</v>
      </c>
      <c r="F31" s="12">
        <v>9.8</v>
      </c>
      <c r="G31" s="12">
        <v>9.7997</v>
      </c>
      <c r="H31" s="12">
        <v>0.00019</v>
      </c>
      <c r="I31" s="12">
        <v>0.00033</v>
      </c>
      <c r="J31" s="12">
        <v>-9.7997</v>
      </c>
    </row>
    <row r="32" spans="1:10" ht="13.5">
      <c r="A32" s="12" t="s">
        <v>108</v>
      </c>
      <c r="B32" s="12">
        <v>19.433333</v>
      </c>
      <c r="C32" s="12">
        <v>-99.133333</v>
      </c>
      <c r="D32" s="12">
        <v>2250</v>
      </c>
      <c r="F32" s="12">
        <v>9.776</v>
      </c>
      <c r="G32" s="12">
        <v>9.77944</v>
      </c>
      <c r="H32" s="12">
        <v>6E-05</v>
      </c>
      <c r="I32" s="12">
        <v>-6E-05</v>
      </c>
      <c r="J32" s="12">
        <v>-9.77944</v>
      </c>
    </row>
    <row r="33" spans="1:10" ht="13.5">
      <c r="A33" s="12" t="s">
        <v>109</v>
      </c>
      <c r="B33" s="12">
        <v>45.5</v>
      </c>
      <c r="C33" s="12">
        <v>-73.566667</v>
      </c>
      <c r="D33" s="12">
        <v>120</v>
      </c>
      <c r="E33" s="12">
        <v>115</v>
      </c>
      <c r="F33" s="12">
        <v>9.809</v>
      </c>
      <c r="G33" s="12">
        <v>9.80601</v>
      </c>
      <c r="H33" s="12">
        <v>0.00011</v>
      </c>
      <c r="I33" s="12">
        <v>-0.0002</v>
      </c>
      <c r="J33" s="12">
        <v>-9.80601</v>
      </c>
    </row>
    <row r="34" spans="1:10" ht="13.5">
      <c r="A34" s="12" t="s">
        <v>110</v>
      </c>
      <c r="B34" s="12">
        <v>40.7127</v>
      </c>
      <c r="C34" s="12">
        <v>-74.0059</v>
      </c>
      <c r="D34" s="12">
        <v>10</v>
      </c>
      <c r="F34" s="12">
        <v>9.802</v>
      </c>
      <c r="G34" s="12">
        <v>9.80243</v>
      </c>
      <c r="H34" s="12">
        <v>0.00028</v>
      </c>
      <c r="I34" s="12">
        <v>0.00011</v>
      </c>
      <c r="J34" s="12">
        <v>-9.80243</v>
      </c>
    </row>
    <row r="35" spans="1:10" ht="13.5">
      <c r="A35" s="12" t="s">
        <v>111</v>
      </c>
      <c r="B35" s="12">
        <v>35.166667</v>
      </c>
      <c r="C35" s="12">
        <v>33.366667</v>
      </c>
      <c r="D35" s="12">
        <v>220</v>
      </c>
      <c r="F35" s="12">
        <v>9.797</v>
      </c>
      <c r="G35" s="12">
        <v>9.79821</v>
      </c>
      <c r="H35" s="12">
        <v>-0.00014</v>
      </c>
      <c r="I35" s="12">
        <v>6E-05</v>
      </c>
      <c r="J35" s="12">
        <v>-9.79821</v>
      </c>
    </row>
    <row r="36" spans="1:10" ht="13.5">
      <c r="A36" s="12" t="s">
        <v>112</v>
      </c>
      <c r="B36" s="12">
        <v>59.95</v>
      </c>
      <c r="C36" s="12">
        <v>10.75</v>
      </c>
      <c r="D36" s="12">
        <v>23</v>
      </c>
      <c r="F36" s="12">
        <v>9.825</v>
      </c>
      <c r="G36" s="12">
        <v>9.81943</v>
      </c>
      <c r="H36" s="12">
        <v>-0.00036</v>
      </c>
      <c r="I36" s="12">
        <v>0.0001</v>
      </c>
      <c r="J36" s="12">
        <v>-9.81943</v>
      </c>
    </row>
    <row r="37" spans="1:10" ht="13.5">
      <c r="A37" s="12" t="s">
        <v>113</v>
      </c>
      <c r="B37" s="12">
        <v>45.416667</v>
      </c>
      <c r="C37" s="12">
        <v>-75.683333</v>
      </c>
      <c r="D37" s="12">
        <v>70</v>
      </c>
      <c r="F37" s="12">
        <v>9.806</v>
      </c>
      <c r="G37" s="12">
        <v>9.80599</v>
      </c>
      <c r="H37" s="12">
        <v>0.00017</v>
      </c>
      <c r="I37" s="12">
        <v>-3E-05</v>
      </c>
      <c r="J37" s="12">
        <v>-9.80599</v>
      </c>
    </row>
    <row r="38" spans="1:10" ht="13.5">
      <c r="A38" s="12" t="s">
        <v>114</v>
      </c>
      <c r="B38" s="12">
        <v>48.8567</v>
      </c>
      <c r="C38" s="12">
        <v>2.3508</v>
      </c>
      <c r="D38" s="12">
        <v>35</v>
      </c>
      <c r="F38" s="12">
        <v>9.809</v>
      </c>
      <c r="G38" s="12">
        <v>9.80951</v>
      </c>
      <c r="H38" s="12">
        <v>-6E-05</v>
      </c>
      <c r="I38" s="12">
        <v>-5E-05</v>
      </c>
      <c r="J38" s="12">
        <v>-9.80951</v>
      </c>
    </row>
    <row r="39" spans="1:10" ht="13.5">
      <c r="A39" s="12" t="s">
        <v>115</v>
      </c>
      <c r="B39" s="12">
        <v>-31.952222</v>
      </c>
      <c r="C39" s="12">
        <v>115.858889</v>
      </c>
      <c r="D39" s="12">
        <v>31.5</v>
      </c>
      <c r="F39" s="12">
        <v>9.794</v>
      </c>
      <c r="G39" s="12">
        <v>9.79359</v>
      </c>
      <c r="H39" s="12">
        <v>0.00066</v>
      </c>
      <c r="I39" s="12">
        <v>-4E-05</v>
      </c>
      <c r="J39" s="12">
        <v>-9.79359</v>
      </c>
    </row>
    <row r="40" spans="1:10" ht="13.5">
      <c r="A40" s="12" t="s">
        <v>116</v>
      </c>
      <c r="B40" s="12">
        <v>-22.908333</v>
      </c>
      <c r="C40" s="12">
        <v>-43.196389</v>
      </c>
      <c r="D40" s="12">
        <v>500</v>
      </c>
      <c r="E40" s="12">
        <v>500</v>
      </c>
      <c r="F40" s="12">
        <v>9.788</v>
      </c>
      <c r="G40" s="12">
        <v>9.78644</v>
      </c>
      <c r="H40" s="12">
        <v>-0.00022</v>
      </c>
      <c r="I40" s="12">
        <v>5E-05</v>
      </c>
      <c r="J40" s="12">
        <v>-9.78644</v>
      </c>
    </row>
    <row r="41" spans="1:10" ht="13.5">
      <c r="A41" s="12" t="s">
        <v>117</v>
      </c>
      <c r="B41" s="12">
        <v>41.9</v>
      </c>
      <c r="C41" s="12">
        <v>12.5</v>
      </c>
      <c r="D41" s="12">
        <v>21</v>
      </c>
      <c r="F41" s="12">
        <v>9.803</v>
      </c>
      <c r="G41" s="12">
        <v>9.8037</v>
      </c>
      <c r="H41" s="12">
        <v>6E-05</v>
      </c>
      <c r="I41" s="12">
        <v>1E-05</v>
      </c>
      <c r="J41" s="12">
        <v>-9.8037</v>
      </c>
    </row>
    <row r="42" spans="1:10" ht="13.5">
      <c r="A42" s="12" t="s">
        <v>118</v>
      </c>
      <c r="B42" s="12">
        <v>47.609722</v>
      </c>
      <c r="C42" s="12">
        <v>-122.333056</v>
      </c>
      <c r="D42" s="12">
        <v>250</v>
      </c>
      <c r="E42" s="12">
        <v>250</v>
      </c>
      <c r="F42" s="12">
        <v>9.811</v>
      </c>
      <c r="G42" s="12">
        <v>9.80652</v>
      </c>
      <c r="H42" s="12">
        <v>-6E-05</v>
      </c>
      <c r="I42" s="12">
        <v>-0.00024</v>
      </c>
      <c r="J42" s="12">
        <v>-9.80652</v>
      </c>
    </row>
    <row r="43" spans="1:10" ht="13.5">
      <c r="A43" s="12" t="s">
        <v>119</v>
      </c>
      <c r="B43" s="12">
        <v>1.3</v>
      </c>
      <c r="C43" s="12">
        <v>103.8</v>
      </c>
      <c r="D43" s="12">
        <v>15</v>
      </c>
      <c r="F43" s="12">
        <v>9.776</v>
      </c>
      <c r="G43" s="12">
        <v>9.78069</v>
      </c>
      <c r="H43" s="12">
        <v>0.00038</v>
      </c>
      <c r="I43" s="12">
        <v>-2E-05</v>
      </c>
      <c r="J43" s="12">
        <v>-9.78069</v>
      </c>
    </row>
    <row r="44" spans="1:10" ht="13.5">
      <c r="A44" s="12" t="s">
        <v>120</v>
      </c>
      <c r="B44" s="12">
        <v>42</v>
      </c>
      <c r="C44" s="12">
        <v>21.433333</v>
      </c>
      <c r="D44" s="12">
        <v>240</v>
      </c>
      <c r="F44" s="12">
        <v>9.804</v>
      </c>
      <c r="G44" s="12">
        <v>9.80262</v>
      </c>
      <c r="H44" s="12">
        <v>3E-05</v>
      </c>
      <c r="I44" s="12">
        <v>0.00013</v>
      </c>
      <c r="J44" s="12">
        <v>-9.80262</v>
      </c>
    </row>
    <row r="45" spans="1:10" ht="13.5">
      <c r="A45" s="12" t="s">
        <v>70</v>
      </c>
      <c r="B45" s="12">
        <v>59.329444</v>
      </c>
      <c r="C45" s="12">
        <v>18.068611</v>
      </c>
      <c r="D45" s="12">
        <v>0</v>
      </c>
      <c r="F45" s="12">
        <v>9.818</v>
      </c>
      <c r="G45" s="12">
        <v>9.81846</v>
      </c>
      <c r="H45" s="12">
        <v>-0.00029</v>
      </c>
      <c r="I45" s="12">
        <v>-0.0002</v>
      </c>
      <c r="J45" s="12">
        <v>-9.81846</v>
      </c>
    </row>
    <row r="46" spans="1:10" ht="13.5">
      <c r="A46" s="12" t="s">
        <v>121</v>
      </c>
      <c r="B46" s="12">
        <v>-33.865</v>
      </c>
      <c r="C46" s="12">
        <v>151.209444</v>
      </c>
      <c r="D46" s="12">
        <v>30</v>
      </c>
      <c r="E46" s="12">
        <v>30</v>
      </c>
      <c r="F46" s="12">
        <v>9.797</v>
      </c>
      <c r="G46" s="12">
        <v>9.79678</v>
      </c>
      <c r="H46" s="12">
        <v>-8E-05</v>
      </c>
      <c r="I46" s="12">
        <v>0.00031</v>
      </c>
      <c r="J46" s="12">
        <v>-9.79678</v>
      </c>
    </row>
    <row r="47" spans="1:10" ht="13.5">
      <c r="A47" s="12" t="s">
        <v>122</v>
      </c>
      <c r="B47" s="12">
        <v>25.033333</v>
      </c>
      <c r="C47" s="12">
        <v>121.633333</v>
      </c>
      <c r="D47" s="12">
        <v>10</v>
      </c>
      <c r="F47" s="12">
        <v>9.79</v>
      </c>
      <c r="G47" s="12">
        <v>9.78974</v>
      </c>
      <c r="H47" s="12">
        <v>0.00024</v>
      </c>
      <c r="I47" s="12">
        <v>-0.00021</v>
      </c>
      <c r="J47" s="12">
        <v>-9.78974</v>
      </c>
    </row>
    <row r="48" spans="1:10" ht="13.5">
      <c r="A48" s="12" t="s">
        <v>123</v>
      </c>
      <c r="B48" s="12">
        <v>35.683333</v>
      </c>
      <c r="C48" s="12">
        <v>139.683333</v>
      </c>
      <c r="D48" s="12">
        <v>40</v>
      </c>
      <c r="F48" s="12">
        <v>9.798</v>
      </c>
      <c r="G48" s="12">
        <v>9.79776</v>
      </c>
      <c r="H48" s="12">
        <v>-0.00037</v>
      </c>
      <c r="I48" s="12">
        <v>0.00057</v>
      </c>
      <c r="J48" s="12">
        <v>-9.79776</v>
      </c>
    </row>
    <row r="49" spans="1:10" ht="13.5">
      <c r="A49" s="12" t="s">
        <v>124</v>
      </c>
      <c r="B49" s="12">
        <v>43.7</v>
      </c>
      <c r="C49" s="12">
        <v>-79.4</v>
      </c>
      <c r="D49" s="12">
        <v>76</v>
      </c>
      <c r="F49" s="12">
        <v>9.807</v>
      </c>
      <c r="G49" s="12">
        <v>9.80435</v>
      </c>
      <c r="H49" s="12">
        <v>-4E-05</v>
      </c>
      <c r="I49" s="12">
        <v>7E-05</v>
      </c>
      <c r="J49" s="12">
        <v>-9.80435</v>
      </c>
    </row>
    <row r="50" spans="1:10" ht="13.5">
      <c r="A50" s="12" t="s">
        <v>125</v>
      </c>
      <c r="B50" s="12">
        <v>49.25</v>
      </c>
      <c r="C50" s="12">
        <v>-123.1</v>
      </c>
      <c r="D50" s="12">
        <v>75</v>
      </c>
      <c r="E50" s="12">
        <v>75</v>
      </c>
      <c r="F50" s="12">
        <v>9.809</v>
      </c>
      <c r="G50" s="12">
        <v>9.80915</v>
      </c>
      <c r="H50" s="12">
        <v>7E-05</v>
      </c>
      <c r="I50" s="12">
        <v>0.0005</v>
      </c>
      <c r="J50" s="12">
        <v>-9.80915</v>
      </c>
    </row>
    <row r="51" spans="1:10" ht="13.5">
      <c r="A51" s="12" t="s">
        <v>126</v>
      </c>
      <c r="B51" s="12">
        <v>38.904722</v>
      </c>
      <c r="C51" s="12">
        <v>-77.016389</v>
      </c>
      <c r="D51" s="12">
        <v>125</v>
      </c>
      <c r="F51" s="12">
        <v>9.801</v>
      </c>
      <c r="G51" s="12">
        <v>9.8006</v>
      </c>
      <c r="H51" s="12">
        <v>-0.00019</v>
      </c>
      <c r="I51" s="12">
        <v>0.00014</v>
      </c>
      <c r="J51" s="12">
        <v>-9.8006</v>
      </c>
    </row>
    <row r="52" spans="1:10" ht="13.5">
      <c r="A52" s="12" t="s">
        <v>127</v>
      </c>
      <c r="B52" s="12">
        <v>-41.288889</v>
      </c>
      <c r="C52" s="12">
        <v>174.777222</v>
      </c>
      <c r="D52" s="12">
        <v>0</v>
      </c>
      <c r="F52" s="12">
        <v>9.803</v>
      </c>
      <c r="G52" s="12">
        <v>9.80294</v>
      </c>
      <c r="H52" s="12">
        <v>0.00036</v>
      </c>
      <c r="I52" s="12">
        <v>9E-05</v>
      </c>
      <c r="J52" s="12">
        <v>-9.80294</v>
      </c>
    </row>
    <row r="53" spans="1:10" ht="13.5">
      <c r="A53" s="12" t="s">
        <v>128</v>
      </c>
      <c r="B53" s="12">
        <v>47.366667</v>
      </c>
      <c r="C53" s="12">
        <v>8.55</v>
      </c>
      <c r="D53" s="12">
        <v>408</v>
      </c>
      <c r="F53" s="12">
        <v>9.807</v>
      </c>
      <c r="G53" s="12">
        <v>9.80678</v>
      </c>
      <c r="H53" s="12">
        <v>-0.00015</v>
      </c>
      <c r="I53" s="12">
        <v>-7E-05</v>
      </c>
      <c r="J53" s="12">
        <v>-9.80678</v>
      </c>
    </row>
    <row r="54" spans="1:10" ht="13.5">
      <c r="A54" s="12" t="s">
        <v>129</v>
      </c>
      <c r="B54" s="12">
        <v>-77.85</v>
      </c>
      <c r="C54" s="12">
        <v>166.666667</v>
      </c>
      <c r="D54" s="12">
        <v>3</v>
      </c>
      <c r="G54" s="12">
        <v>9.82968</v>
      </c>
      <c r="H54" s="12">
        <v>-0.00015</v>
      </c>
      <c r="I54" s="12">
        <v>-0.00018</v>
      </c>
      <c r="J54" s="12">
        <v>-9.82968</v>
      </c>
    </row>
    <row r="55" spans="1:10" ht="13.5">
      <c r="A55" s="12" t="s">
        <v>130</v>
      </c>
      <c r="B55" s="12">
        <v>80</v>
      </c>
      <c r="C55" s="12">
        <v>-100</v>
      </c>
      <c r="D55" s="12">
        <v>1</v>
      </c>
      <c r="G55" s="12">
        <v>9.83046</v>
      </c>
      <c r="H55" s="12">
        <v>0.00043</v>
      </c>
      <c r="I55" s="12">
        <v>0.00019</v>
      </c>
      <c r="J55" s="12">
        <v>-9.83046</v>
      </c>
    </row>
    <row r="56" spans="1:10" ht="13.5">
      <c r="A56" s="12" t="s">
        <v>131</v>
      </c>
      <c r="B56" s="12">
        <v>83.666667</v>
      </c>
      <c r="C56" s="12">
        <v>-29.833333</v>
      </c>
      <c r="D56" s="12">
        <v>0</v>
      </c>
      <c r="G56" s="12">
        <v>9.83176</v>
      </c>
      <c r="H56" s="12">
        <v>3E-05</v>
      </c>
      <c r="I56" s="12">
        <v>-0.00026</v>
      </c>
      <c r="J56" s="12">
        <v>-9.83176</v>
      </c>
    </row>
    <row r="57" spans="1:10" ht="13.5">
      <c r="A57" s="12" t="s">
        <v>133</v>
      </c>
      <c r="B57" s="12">
        <v>83.56</v>
      </c>
      <c r="C57" s="12">
        <v>-29.83333</v>
      </c>
      <c r="D57" s="12">
        <v>7</v>
      </c>
      <c r="G57" s="12">
        <v>9.83161</v>
      </c>
      <c r="H57" s="12">
        <v>6E-05</v>
      </c>
      <c r="I57" s="12">
        <v>-0.00044</v>
      </c>
      <c r="J57" s="12">
        <v>-9.83161</v>
      </c>
    </row>
    <row r="58" spans="1:10" ht="13.5">
      <c r="A58" s="12" t="s">
        <v>134</v>
      </c>
      <c r="B58" s="12">
        <v>-89</v>
      </c>
      <c r="C58" s="12">
        <v>0</v>
      </c>
      <c r="D58" s="12">
        <v>2696</v>
      </c>
      <c r="G58" s="12">
        <v>9.82323</v>
      </c>
      <c r="H58" s="12">
        <v>5E-05</v>
      </c>
      <c r="I58" s="12">
        <v>1E-05</v>
      </c>
      <c r="J58" s="12">
        <v>-9.82323</v>
      </c>
    </row>
    <row r="59" spans="1:10" ht="13.5">
      <c r="A59" s="12" t="s">
        <v>135</v>
      </c>
      <c r="B59" s="12">
        <v>40.12498</v>
      </c>
      <c r="C59" s="12">
        <v>-105.2368</v>
      </c>
      <c r="D59" s="12">
        <v>1689</v>
      </c>
      <c r="G59" s="12">
        <v>9.7961</v>
      </c>
      <c r="H59" s="12">
        <v>-0.00114</v>
      </c>
      <c r="I59" s="12">
        <v>0.00016</v>
      </c>
      <c r="J59" s="12">
        <v>-9.7961</v>
      </c>
    </row>
    <row r="60" spans="1:10" ht="13.5">
      <c r="A60" s="12" t="s">
        <v>136</v>
      </c>
      <c r="B60" s="12">
        <v>55.916667</v>
      </c>
      <c r="C60" s="12">
        <v>-3.2</v>
      </c>
      <c r="D60" s="12">
        <v>174</v>
      </c>
      <c r="G60" s="12">
        <v>9.81566</v>
      </c>
      <c r="H60" s="12">
        <v>-0.0004</v>
      </c>
      <c r="I60" s="12">
        <v>-0.00027</v>
      </c>
      <c r="J60" s="12">
        <v>-9.81566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zoomScaleSheetLayoutView="1" workbookViewId="0" topLeftCell="A1">
      <selection activeCell="A10" sqref="A10"/>
    </sheetView>
  </sheetViews>
  <sheetFormatPr defaultColWidth="9.00390625" defaultRowHeight="12.75"/>
  <cols>
    <col min="1" max="256" width="9.125" style="12" customWidth="1"/>
  </cols>
  <sheetData>
    <row r="1" ht="13.5"/>
    <row r="2" ht="13.5">
      <c r="J2" s="12" t="s">
        <v>181</v>
      </c>
    </row>
    <row r="3" spans="1:8" ht="13.5">
      <c r="A3" s="12" t="s">
        <v>60</v>
      </c>
      <c r="B3" s="12" t="s">
        <v>61</v>
      </c>
      <c r="D3" s="12" t="s">
        <v>62</v>
      </c>
      <c r="H3" s="12" t="s">
        <v>64</v>
      </c>
    </row>
    <row r="4" spans="1:8" ht="13.5">
      <c r="A4" s="12" t="s">
        <v>68</v>
      </c>
      <c r="B4" s="12">
        <v>90</v>
      </c>
      <c r="D4" s="12">
        <v>0</v>
      </c>
      <c r="H4" s="12">
        <v>9.832</v>
      </c>
    </row>
    <row r="5" spans="1:8" ht="13.5">
      <c r="A5" s="12" t="s">
        <v>69</v>
      </c>
      <c r="B5" s="12">
        <v>70</v>
      </c>
      <c r="D5" s="12">
        <v>20</v>
      </c>
      <c r="H5" s="12">
        <v>9.825</v>
      </c>
    </row>
    <row r="6" spans="1:8" ht="13.5">
      <c r="A6" s="12" t="s">
        <v>70</v>
      </c>
      <c r="B6" s="12">
        <v>59</v>
      </c>
      <c r="D6" s="12">
        <v>45</v>
      </c>
      <c r="H6" s="12">
        <v>9.818</v>
      </c>
    </row>
    <row r="7" spans="1:8" ht="13.5">
      <c r="A7" s="12" t="s">
        <v>71</v>
      </c>
      <c r="B7" s="12">
        <v>51</v>
      </c>
      <c r="D7" s="12">
        <v>102</v>
      </c>
      <c r="H7" s="12">
        <v>9.811</v>
      </c>
    </row>
    <row r="8" spans="1:8" ht="13.5">
      <c r="A8" s="12" t="s">
        <v>72</v>
      </c>
      <c r="B8" s="12">
        <v>51</v>
      </c>
      <c r="D8" s="12">
        <v>1376</v>
      </c>
      <c r="H8" s="12">
        <v>9.808</v>
      </c>
    </row>
    <row r="9" spans="1:8" ht="13.5">
      <c r="A9" s="12" t="s">
        <v>73</v>
      </c>
      <c r="B9" s="12">
        <v>41</v>
      </c>
      <c r="D9" s="12">
        <v>38</v>
      </c>
      <c r="H9" s="12">
        <v>9.803</v>
      </c>
    </row>
    <row r="10" spans="1:8" ht="13.5">
      <c r="A10" s="12" t="s">
        <v>74</v>
      </c>
      <c r="B10" s="12">
        <v>42</v>
      </c>
      <c r="D10" s="12">
        <v>182</v>
      </c>
      <c r="H10" s="12">
        <v>9.803</v>
      </c>
    </row>
    <row r="11" spans="1:8" ht="13.5">
      <c r="A11" s="12" t="s">
        <v>75</v>
      </c>
      <c r="B11" s="12">
        <v>40</v>
      </c>
      <c r="D11" s="12">
        <v>1638</v>
      </c>
      <c r="H11" s="12">
        <v>9.796</v>
      </c>
    </row>
    <row r="12" spans="1:8" ht="13.5">
      <c r="A12" s="12" t="s">
        <v>76</v>
      </c>
      <c r="B12" s="12">
        <v>38</v>
      </c>
      <c r="D12" s="12">
        <v>114</v>
      </c>
      <c r="H12" s="12">
        <v>9.8</v>
      </c>
    </row>
    <row r="13" spans="1:8" ht="13.5">
      <c r="A13" s="12" t="s">
        <v>77</v>
      </c>
      <c r="B13" s="12">
        <v>9</v>
      </c>
      <c r="D13" s="12">
        <v>6</v>
      </c>
      <c r="H13" s="12">
        <v>9.782</v>
      </c>
    </row>
    <row r="14" spans="1:8" ht="13.5">
      <c r="A14" s="12" t="s">
        <v>78</v>
      </c>
      <c r="B14" s="12">
        <v>-6</v>
      </c>
      <c r="D14" s="12">
        <v>7</v>
      </c>
      <c r="H14" s="12">
        <v>9.782</v>
      </c>
    </row>
    <row r="15" spans="1:8" ht="13.5">
      <c r="A15" s="12" t="s">
        <v>79</v>
      </c>
      <c r="B15" s="12">
        <v>-37</v>
      </c>
      <c r="D15" s="12">
        <v>3</v>
      </c>
      <c r="H15" s="12">
        <v>9.8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1" workbookViewId="0" topLeftCell="A47">
      <selection activeCell="A55" sqref="A55:H67"/>
    </sheetView>
  </sheetViews>
  <sheetFormatPr defaultColWidth="9.00390625" defaultRowHeight="12.75"/>
  <cols>
    <col min="1" max="1" width="18.25390625" style="12" customWidth="1"/>
    <col min="2" max="2" width="13.75390625" style="12" customWidth="1"/>
    <col min="3" max="3" width="15.75390625" style="12" customWidth="1"/>
    <col min="4" max="4" width="13.75390625" style="12" customWidth="1"/>
    <col min="5" max="5" width="9.125" style="12" customWidth="1"/>
    <col min="6" max="6" width="12.625" style="12" customWidth="1"/>
    <col min="7" max="256" width="9.125" style="12" customWidth="1"/>
  </cols>
  <sheetData>
    <row r="1" ht="13.5">
      <c r="A1" s="12" t="s">
        <v>182</v>
      </c>
    </row>
    <row r="2" ht="13.5"/>
    <row r="3" spans="1:8" ht="13.5">
      <c r="A3" s="66" t="s">
        <v>178</v>
      </c>
      <c r="B3" s="12" t="s">
        <v>183</v>
      </c>
      <c r="D3" s="12" t="s">
        <v>184</v>
      </c>
      <c r="E3" s="65" t="s">
        <v>180</v>
      </c>
      <c r="F3" s="66" t="s">
        <v>64</v>
      </c>
      <c r="G3" s="66"/>
      <c r="H3" s="12" t="s">
        <v>185</v>
      </c>
    </row>
    <row r="4" spans="1:6" ht="13.5">
      <c r="A4" s="67" t="s">
        <v>82</v>
      </c>
      <c r="B4" s="12">
        <v>52.366667</v>
      </c>
      <c r="C4" s="12">
        <v>4.9</v>
      </c>
      <c r="D4" s="12">
        <v>2</v>
      </c>
      <c r="F4" s="12">
        <v>9.817</v>
      </c>
    </row>
    <row r="5" spans="1:6" ht="13.5">
      <c r="A5" s="68" t="s">
        <v>83</v>
      </c>
      <c r="B5" s="12">
        <v>61.216667</v>
      </c>
      <c r="C5" s="12">
        <v>-149.9</v>
      </c>
      <c r="D5" s="12">
        <v>31</v>
      </c>
      <c r="F5" s="12">
        <v>9.826</v>
      </c>
    </row>
    <row r="6" spans="1:6" ht="13.5">
      <c r="A6" s="69" t="s">
        <v>84</v>
      </c>
      <c r="B6" s="12">
        <v>37.966667</v>
      </c>
      <c r="C6" s="12">
        <v>23.716667</v>
      </c>
      <c r="D6" s="12">
        <v>200</v>
      </c>
      <c r="E6" s="12">
        <v>130</v>
      </c>
      <c r="F6" s="12">
        <v>9.8</v>
      </c>
    </row>
    <row r="7" spans="1:6" ht="13.5">
      <c r="A7" s="70" t="s">
        <v>85</v>
      </c>
      <c r="B7" s="12">
        <v>-36.840556</v>
      </c>
      <c r="C7" s="12">
        <v>174.74</v>
      </c>
      <c r="D7" s="12">
        <v>196</v>
      </c>
      <c r="F7" s="12">
        <v>9.799</v>
      </c>
    </row>
    <row r="8" spans="1:6" ht="13.5">
      <c r="A8" s="71" t="s">
        <v>86</v>
      </c>
      <c r="B8" s="12">
        <v>13.75</v>
      </c>
      <c r="C8" s="12">
        <v>100.466667</v>
      </c>
      <c r="D8" s="12">
        <v>1.5</v>
      </c>
      <c r="F8" s="12">
        <v>9.78</v>
      </c>
    </row>
    <row r="9" spans="1:6" ht="13.5">
      <c r="A9" s="72" t="s">
        <v>87</v>
      </c>
      <c r="B9" s="12">
        <v>52.483056</v>
      </c>
      <c r="C9" s="12">
        <v>-1.893611</v>
      </c>
      <c r="D9" s="12">
        <v>140</v>
      </c>
      <c r="F9" s="12">
        <v>9.817</v>
      </c>
    </row>
    <row r="10" spans="1:6" ht="13.5">
      <c r="A10" s="73" t="s">
        <v>71</v>
      </c>
      <c r="B10" s="12">
        <v>50.85</v>
      </c>
      <c r="C10" s="12">
        <v>4.35</v>
      </c>
      <c r="D10" s="12">
        <v>13</v>
      </c>
      <c r="F10" s="12">
        <v>9.815</v>
      </c>
    </row>
    <row r="11" spans="1:6" ht="13.5">
      <c r="A11" s="74" t="s">
        <v>88</v>
      </c>
      <c r="B11" s="12">
        <v>-34.603333</v>
      </c>
      <c r="C11" s="12">
        <v>-58.381667</v>
      </c>
      <c r="D11" s="12">
        <v>25</v>
      </c>
      <c r="F11" s="12">
        <v>9.797</v>
      </c>
    </row>
    <row r="12" spans="1:6" ht="13.5">
      <c r="A12" s="75" t="s">
        <v>89</v>
      </c>
      <c r="B12" s="12">
        <v>-33.925278</v>
      </c>
      <c r="C12" s="12">
        <v>18.423889</v>
      </c>
      <c r="D12" s="12">
        <v>1590.4</v>
      </c>
      <c r="F12" s="12">
        <v>9.796</v>
      </c>
    </row>
    <row r="13" spans="1:6" ht="13.5">
      <c r="A13" s="76" t="s">
        <v>74</v>
      </c>
      <c r="B13" s="12">
        <v>41.836944</v>
      </c>
      <c r="C13" s="12">
        <v>-87.684722</v>
      </c>
      <c r="D13" s="12">
        <v>181</v>
      </c>
      <c r="F13" s="12">
        <v>9.804</v>
      </c>
    </row>
    <row r="14" spans="1:6" ht="13.5">
      <c r="A14" s="77" t="s">
        <v>90</v>
      </c>
      <c r="B14" s="12">
        <v>55.676111</v>
      </c>
      <c r="C14" s="12">
        <v>12.568333</v>
      </c>
      <c r="D14" s="12">
        <v>46</v>
      </c>
      <c r="E14" s="12">
        <v>45</v>
      </c>
      <c r="F14" s="12">
        <v>9.821</v>
      </c>
    </row>
    <row r="15" spans="1:6" ht="13.5">
      <c r="A15" s="78" t="s">
        <v>75</v>
      </c>
      <c r="B15" s="12">
        <v>39.76185</v>
      </c>
      <c r="C15" s="12">
        <v>-104.881105</v>
      </c>
      <c r="D15" s="12">
        <v>1650</v>
      </c>
      <c r="E15" s="12">
        <v>80</v>
      </c>
      <c r="F15" s="12">
        <v>9.798</v>
      </c>
    </row>
    <row r="16" spans="1:6" ht="13.5">
      <c r="A16" s="79" t="s">
        <v>91</v>
      </c>
      <c r="B16" s="12">
        <v>50.116667</v>
      </c>
      <c r="C16" s="12">
        <v>8.683333</v>
      </c>
      <c r="D16" s="12">
        <v>113</v>
      </c>
      <c r="F16" s="12">
        <v>9.814</v>
      </c>
    </row>
    <row r="17" spans="1:6" ht="13.5">
      <c r="A17" s="80" t="s">
        <v>92</v>
      </c>
      <c r="B17" s="12">
        <v>23.133333</v>
      </c>
      <c r="C17" s="12">
        <v>-82.383333</v>
      </c>
      <c r="D17" s="12">
        <v>59</v>
      </c>
      <c r="F17" s="12">
        <v>9.786</v>
      </c>
    </row>
    <row r="18" spans="1:6" ht="13.5">
      <c r="A18" s="81" t="s">
        <v>93</v>
      </c>
      <c r="B18" s="12">
        <v>60.170833</v>
      </c>
      <c r="C18" s="12">
        <v>24.9375</v>
      </c>
      <c r="D18" s="12">
        <v>51</v>
      </c>
      <c r="F18" s="12">
        <v>9.825</v>
      </c>
    </row>
    <row r="19" spans="1:6" ht="13.5">
      <c r="A19" s="82" t="s">
        <v>94</v>
      </c>
      <c r="B19" s="12">
        <v>22.3</v>
      </c>
      <c r="C19" s="12">
        <v>114.2</v>
      </c>
      <c r="D19" s="12">
        <v>480</v>
      </c>
      <c r="E19" s="12">
        <v>480</v>
      </c>
      <c r="F19" s="12">
        <v>9.785</v>
      </c>
    </row>
    <row r="20" spans="1:6" ht="13.5">
      <c r="A20" s="83" t="s">
        <v>95</v>
      </c>
      <c r="B20" s="12">
        <v>41.013611</v>
      </c>
      <c r="C20" s="12">
        <v>28.955</v>
      </c>
      <c r="D20" s="12">
        <v>140</v>
      </c>
      <c r="E20" s="12">
        <v>140</v>
      </c>
      <c r="F20" s="12">
        <v>9.808</v>
      </c>
    </row>
    <row r="21" spans="1:6" ht="13.5">
      <c r="A21" s="84" t="s">
        <v>96</v>
      </c>
      <c r="B21" s="12">
        <v>-6.2</v>
      </c>
      <c r="C21" s="12">
        <v>106.816667</v>
      </c>
      <c r="D21" s="12">
        <v>8</v>
      </c>
      <c r="F21" s="12">
        <v>9.777</v>
      </c>
    </row>
    <row r="22" spans="1:6" ht="13.5">
      <c r="A22" s="85" t="s">
        <v>97</v>
      </c>
      <c r="B22" s="12">
        <v>7.296389</v>
      </c>
      <c r="C22" s="12">
        <v>80.635</v>
      </c>
      <c r="D22" s="12">
        <v>500</v>
      </c>
      <c r="F22" s="12">
        <v>9.775</v>
      </c>
    </row>
    <row r="23" spans="1:6" ht="13.5">
      <c r="A23" s="86" t="s">
        <v>98</v>
      </c>
      <c r="B23" s="12">
        <v>22.566667</v>
      </c>
      <c r="C23" s="12">
        <v>88.366667</v>
      </c>
      <c r="D23" s="12">
        <v>9</v>
      </c>
      <c r="F23" s="12">
        <v>9.785</v>
      </c>
    </row>
    <row r="24" spans="1:6" ht="13.5">
      <c r="A24" s="87" t="s">
        <v>99</v>
      </c>
      <c r="B24" s="12">
        <v>3.133333</v>
      </c>
      <c r="C24" s="12">
        <v>101.683333</v>
      </c>
      <c r="D24" s="12">
        <v>21.95</v>
      </c>
      <c r="F24" s="12">
        <v>9.776</v>
      </c>
    </row>
    <row r="25" spans="1:6" ht="13.5">
      <c r="A25" s="88" t="s">
        <v>100</v>
      </c>
      <c r="B25" s="12">
        <v>29.369722</v>
      </c>
      <c r="C25" s="12">
        <v>47.978333</v>
      </c>
      <c r="D25" s="12">
        <v>2</v>
      </c>
      <c r="F25" s="12">
        <v>9.792</v>
      </c>
    </row>
    <row r="26" spans="1:6" ht="13.5">
      <c r="A26" s="89" t="s">
        <v>101</v>
      </c>
      <c r="B26" s="12">
        <v>38.713889</v>
      </c>
      <c r="C26" s="12">
        <v>-9.139444</v>
      </c>
      <c r="D26" s="12">
        <v>2</v>
      </c>
      <c r="F26" s="12">
        <v>9.801</v>
      </c>
    </row>
    <row r="27" spans="1:6" ht="13.5">
      <c r="A27" s="90" t="s">
        <v>102</v>
      </c>
      <c r="B27" s="12">
        <v>51.507222</v>
      </c>
      <c r="C27" s="12">
        <v>-0.1275</v>
      </c>
      <c r="D27" s="12">
        <v>35</v>
      </c>
      <c r="F27" s="12">
        <v>9.816</v>
      </c>
    </row>
    <row r="28" spans="1:6" ht="13.5">
      <c r="A28" s="91" t="s">
        <v>103</v>
      </c>
      <c r="B28" s="12">
        <v>34.05</v>
      </c>
      <c r="C28" s="12">
        <v>-118.25</v>
      </c>
      <c r="D28" s="12">
        <v>93</v>
      </c>
      <c r="F28" s="12">
        <v>9.796</v>
      </c>
    </row>
    <row r="29" spans="1:6" ht="13.5">
      <c r="A29" s="92" t="s">
        <v>104</v>
      </c>
      <c r="B29" s="12">
        <v>40.383333</v>
      </c>
      <c r="C29" s="12">
        <v>-3.716667</v>
      </c>
      <c r="D29" s="12">
        <v>667</v>
      </c>
      <c r="F29" s="12">
        <v>9.8</v>
      </c>
    </row>
    <row r="30" spans="1:6" ht="13.5">
      <c r="A30" s="93" t="s">
        <v>105</v>
      </c>
      <c r="B30" s="12">
        <v>53.466667</v>
      </c>
      <c r="C30" s="12">
        <v>-2.233333</v>
      </c>
      <c r="D30" s="12">
        <v>38</v>
      </c>
      <c r="F30" s="12">
        <v>9.818</v>
      </c>
    </row>
    <row r="31" spans="1:6" ht="13.5">
      <c r="A31" s="107" t="s">
        <v>106</v>
      </c>
      <c r="B31" s="12">
        <v>14.58</v>
      </c>
      <c r="C31" s="12">
        <v>121</v>
      </c>
      <c r="D31" s="12">
        <v>16</v>
      </c>
      <c r="F31" s="12">
        <v>9.78</v>
      </c>
    </row>
    <row r="32" spans="1:6" ht="13.5">
      <c r="A32" s="94" t="s">
        <v>107</v>
      </c>
      <c r="B32" s="12">
        <v>-37.813611</v>
      </c>
      <c r="C32" s="12">
        <v>144.963056</v>
      </c>
      <c r="D32" s="12">
        <v>31</v>
      </c>
      <c r="F32" s="12">
        <v>9.8</v>
      </c>
    </row>
    <row r="33" spans="1:6" ht="13.5">
      <c r="A33" s="95" t="s">
        <v>108</v>
      </c>
      <c r="B33" s="12">
        <v>19.433333</v>
      </c>
      <c r="C33" s="12">
        <v>-99.133333</v>
      </c>
      <c r="D33" s="12">
        <v>2250</v>
      </c>
      <c r="F33" s="12">
        <v>9.776</v>
      </c>
    </row>
    <row r="34" spans="1:6" ht="13.5">
      <c r="A34" s="114" t="s">
        <v>109</v>
      </c>
      <c r="B34" s="12">
        <v>45.5</v>
      </c>
      <c r="C34" s="12">
        <v>-73.566667</v>
      </c>
      <c r="D34" s="12">
        <v>120</v>
      </c>
      <c r="E34" s="12">
        <v>115</v>
      </c>
      <c r="F34" s="12">
        <v>9.809</v>
      </c>
    </row>
    <row r="35" spans="1:6" ht="13.5">
      <c r="A35" s="96" t="s">
        <v>110</v>
      </c>
      <c r="B35" s="12">
        <v>40.7127</v>
      </c>
      <c r="C35" s="12">
        <v>-74.0059</v>
      </c>
      <c r="D35" s="12">
        <v>10</v>
      </c>
      <c r="F35" s="12">
        <v>9.802</v>
      </c>
    </row>
    <row r="36" spans="1:6" ht="13.5">
      <c r="A36" s="97" t="s">
        <v>111</v>
      </c>
      <c r="B36" s="12">
        <v>35.166667</v>
      </c>
      <c r="C36" s="12">
        <v>33.366667</v>
      </c>
      <c r="D36" s="12">
        <v>220</v>
      </c>
      <c r="F36" s="12">
        <v>9.797</v>
      </c>
    </row>
    <row r="37" spans="1:6" ht="13.5">
      <c r="A37" s="98" t="s">
        <v>112</v>
      </c>
      <c r="B37" s="12">
        <v>59.95</v>
      </c>
      <c r="C37" s="12">
        <v>10.75</v>
      </c>
      <c r="D37" s="12">
        <v>23</v>
      </c>
      <c r="F37" s="12">
        <v>9.825</v>
      </c>
    </row>
    <row r="38" spans="1:6" ht="13.5">
      <c r="A38" s="99" t="s">
        <v>113</v>
      </c>
      <c r="B38" s="12">
        <v>45.416667</v>
      </c>
      <c r="C38" s="12">
        <v>-75.683333</v>
      </c>
      <c r="D38" s="12">
        <v>70</v>
      </c>
      <c r="F38" s="12">
        <v>9.806</v>
      </c>
    </row>
    <row r="39" spans="1:6" ht="13.5">
      <c r="A39" s="100" t="s">
        <v>114</v>
      </c>
      <c r="B39" s="12">
        <v>48.8567</v>
      </c>
      <c r="C39" s="12">
        <v>2.3508</v>
      </c>
      <c r="D39" s="12">
        <v>35</v>
      </c>
      <c r="F39" s="12">
        <v>9.809</v>
      </c>
    </row>
    <row r="40" spans="1:6" ht="13.5">
      <c r="A40" s="101" t="s">
        <v>115</v>
      </c>
      <c r="B40" s="12">
        <v>-31.952222</v>
      </c>
      <c r="C40" s="12">
        <v>115.858889</v>
      </c>
      <c r="D40" s="12">
        <v>31.5</v>
      </c>
      <c r="F40" s="12">
        <v>9.794</v>
      </c>
    </row>
    <row r="41" spans="1:6" ht="13.5">
      <c r="A41" s="102" t="s">
        <v>116</v>
      </c>
      <c r="B41" s="12">
        <v>-22.908333</v>
      </c>
      <c r="C41" s="12">
        <v>-43.196389</v>
      </c>
      <c r="D41" s="12">
        <v>500</v>
      </c>
      <c r="E41" s="12">
        <v>500</v>
      </c>
      <c r="F41" s="12">
        <v>9.788</v>
      </c>
    </row>
    <row r="42" spans="1:6" ht="13.5">
      <c r="A42" s="108" t="s">
        <v>117</v>
      </c>
      <c r="B42" s="12">
        <v>41.9</v>
      </c>
      <c r="C42" s="12">
        <v>12.5</v>
      </c>
      <c r="D42" s="12">
        <v>21</v>
      </c>
      <c r="F42" s="12">
        <v>9.803</v>
      </c>
    </row>
    <row r="43" spans="1:6" ht="13.5">
      <c r="A43" s="109" t="s">
        <v>118</v>
      </c>
      <c r="B43" s="12">
        <v>47.609722</v>
      </c>
      <c r="C43" s="12">
        <v>-122.333056</v>
      </c>
      <c r="D43" s="12">
        <v>250</v>
      </c>
      <c r="E43" s="12">
        <v>250</v>
      </c>
      <c r="F43" s="12">
        <v>9.811</v>
      </c>
    </row>
    <row r="44" spans="1:6" ht="13.5">
      <c r="A44" s="106" t="s">
        <v>119</v>
      </c>
      <c r="B44" s="12">
        <v>1.3</v>
      </c>
      <c r="C44" s="12">
        <v>103.8</v>
      </c>
      <c r="D44" s="12">
        <v>15</v>
      </c>
      <c r="F44" s="12">
        <v>9.776</v>
      </c>
    </row>
    <row r="45" spans="1:6" ht="13.5">
      <c r="A45" s="103" t="s">
        <v>120</v>
      </c>
      <c r="B45" s="12">
        <v>42</v>
      </c>
      <c r="C45" s="12">
        <v>21.433333</v>
      </c>
      <c r="D45" s="12">
        <v>240</v>
      </c>
      <c r="F45" s="12">
        <v>9.804</v>
      </c>
    </row>
    <row r="46" spans="1:6" ht="13.5">
      <c r="A46" s="104" t="s">
        <v>70</v>
      </c>
      <c r="B46" s="12">
        <v>59.329444</v>
      </c>
      <c r="C46" s="12">
        <v>18.068611</v>
      </c>
      <c r="D46" s="12">
        <v>0</v>
      </c>
      <c r="F46" s="12">
        <v>9.818</v>
      </c>
    </row>
    <row r="47" spans="1:6" ht="13.5">
      <c r="A47" s="110" t="s">
        <v>121</v>
      </c>
      <c r="B47" s="12">
        <v>-33.865</v>
      </c>
      <c r="C47" s="12">
        <v>151.209444</v>
      </c>
      <c r="D47" s="12">
        <v>30</v>
      </c>
      <c r="E47" s="12">
        <v>30</v>
      </c>
      <c r="F47" s="12">
        <v>9.797</v>
      </c>
    </row>
    <row r="48" spans="1:6" ht="13.5">
      <c r="A48" s="105" t="s">
        <v>122</v>
      </c>
      <c r="B48" s="12">
        <v>25.033333</v>
      </c>
      <c r="C48" s="12">
        <v>121.633333</v>
      </c>
      <c r="D48" s="12">
        <v>10</v>
      </c>
      <c r="F48" s="12">
        <v>9.79</v>
      </c>
    </row>
    <row r="49" spans="1:6" ht="13.5">
      <c r="A49" s="115" t="s">
        <v>123</v>
      </c>
      <c r="B49" s="12">
        <v>35.683333</v>
      </c>
      <c r="C49" s="12">
        <v>139.683333</v>
      </c>
      <c r="D49" s="12">
        <v>40</v>
      </c>
      <c r="F49" s="12">
        <v>9.798</v>
      </c>
    </row>
    <row r="50" spans="1:6" ht="13.5">
      <c r="A50" s="111" t="s">
        <v>124</v>
      </c>
      <c r="B50" s="12">
        <v>43.7</v>
      </c>
      <c r="C50" s="12">
        <v>-79.4</v>
      </c>
      <c r="D50" s="12">
        <v>76</v>
      </c>
      <c r="F50" s="12">
        <v>9.807</v>
      </c>
    </row>
    <row r="51" spans="1:6" ht="13.5">
      <c r="A51" s="112" t="s">
        <v>125</v>
      </c>
      <c r="B51" s="12">
        <v>49.25</v>
      </c>
      <c r="C51" s="12">
        <v>-123.1</v>
      </c>
      <c r="D51" s="12">
        <v>75</v>
      </c>
      <c r="E51" s="12">
        <v>75</v>
      </c>
      <c r="F51" s="12">
        <v>9.809</v>
      </c>
    </row>
    <row r="52" spans="1:6" ht="13.5">
      <c r="A52" s="116" t="s">
        <v>126</v>
      </c>
      <c r="B52" s="12">
        <v>38.904722</v>
      </c>
      <c r="C52" s="12">
        <v>-77.016389</v>
      </c>
      <c r="D52" s="12">
        <v>125</v>
      </c>
      <c r="F52" s="12">
        <v>9.801</v>
      </c>
    </row>
    <row r="53" spans="1:6" ht="13.5">
      <c r="A53" s="113" t="s">
        <v>127</v>
      </c>
      <c r="B53" s="12">
        <v>-41.288889</v>
      </c>
      <c r="C53" s="12">
        <v>174.777222</v>
      </c>
      <c r="D53" s="12">
        <v>0</v>
      </c>
      <c r="F53" s="12">
        <v>9.803</v>
      </c>
    </row>
    <row r="54" spans="1:6" ht="13.5">
      <c r="A54" s="117" t="s">
        <v>128</v>
      </c>
      <c r="B54" s="12">
        <v>47.366667</v>
      </c>
      <c r="C54" s="12">
        <v>8.55</v>
      </c>
      <c r="D54" s="12">
        <v>408</v>
      </c>
      <c r="F54" s="12">
        <v>9.807</v>
      </c>
    </row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</sheetData>
  <sheetProtection/>
  <hyperlinks>
    <hyperlink ref="A4" r:id="rId1" display="https://en.wikipedia.org/wiki/Amsterdam"/>
    <hyperlink ref="A5" r:id="rId2" display="https://en.wikipedia.org/wiki/Anchorage"/>
    <hyperlink ref="A6" r:id="rId3" display="https://en.wikipedia.org/wiki/Athens"/>
    <hyperlink ref="A7" r:id="rId4" display="https://en.wikipedia.org/wiki/Auckland"/>
    <hyperlink ref="A8" r:id="rId5" display="https://en.wikipedia.org/wiki/Bangkok"/>
    <hyperlink ref="A9" r:id="rId6" display="https://en.wikipedia.org/wiki/Birmingham"/>
    <hyperlink ref="A10" r:id="rId7" display="https://en.wikipedia.org/wiki/Brussels"/>
    <hyperlink ref="A11" r:id="rId8" display="https://en.wikipedia.org/wiki/Buenos_Aires"/>
    <hyperlink ref="A12" r:id="rId9" display="https://en.wikipedia.org/wiki/Cape_Town"/>
    <hyperlink ref="A13" r:id="rId10" display="https://en.wikipedia.org/wiki/Chicago"/>
    <hyperlink ref="A14" r:id="rId11" display="https://en.wikipedia.org/wiki/Copenhagen"/>
    <hyperlink ref="A15" r:id="rId12" display="https://en.wikipedia.org/wiki/Denver"/>
    <hyperlink ref="A16" r:id="rId13" display="https://en.wikipedia.org/wiki/Frankfurt"/>
    <hyperlink ref="A17" r:id="rId14" display="https://en.wikipedia.org/wiki/Havana"/>
    <hyperlink ref="A18" r:id="rId15" display="https://en.wikipedia.org/wiki/Helsinki"/>
    <hyperlink ref="A19" r:id="rId16" display="https://en.wikipedia.org/wiki/Hong_Kong"/>
    <hyperlink ref="A20" r:id="rId17" display="https://en.wikipedia.org/wiki/Istanbul"/>
    <hyperlink ref="A21" r:id="rId18" display="https://en.wikipedia.org/wiki/Jakarta"/>
    <hyperlink ref="A22" r:id="rId19" display="https://en.wikipedia.org/wiki/Kandy"/>
    <hyperlink ref="A23" r:id="rId20" display="https://en.wikipedia.org/wiki/Kolkata"/>
    <hyperlink ref="A24" r:id="rId21" display="https://en.wikipedia.org/wiki/Kuala_Lumpur"/>
    <hyperlink ref="A25" r:id="rId22" display="https://en.wikipedia.org/wiki/Kuwait_City"/>
    <hyperlink ref="A26" r:id="rId23" display="https://en.wikipedia.org/wiki/Lisbon"/>
    <hyperlink ref="A27" r:id="rId24" display="https://en.wikipedia.org/wiki/London"/>
    <hyperlink ref="A28" r:id="rId25" display="https://en.wikipedia.org/wiki/Los_Angeles"/>
    <hyperlink ref="A29" r:id="rId26" display="https://en.wikipedia.org/wiki/Madrid"/>
    <hyperlink ref="A30" r:id="rId27" display="https://en.wikipedia.org/wiki/Manchester"/>
    <hyperlink ref="A31" r:id="rId28" display="https://en.wikipedia.org/wiki/Manila"/>
    <hyperlink ref="A32" r:id="rId29" display="https://en.wikipedia.org/wiki/Melbourne"/>
    <hyperlink ref="A33" r:id="rId30" display="https://en.wikipedia.org/wiki/Mexico_City"/>
    <hyperlink ref="A34" r:id="rId31" display="https://en.wikipedia.org/wiki/Montr%C3%A9al"/>
    <hyperlink ref="A35" r:id="rId32" display="https://en.wikipedia.org/wiki/New_York_City"/>
    <hyperlink ref="A36" r:id="rId33" display="https://en.wikipedia.org/wiki/Nicosia"/>
    <hyperlink ref="A37" r:id="rId34" display="https://en.wikipedia.org/wiki/Oslo"/>
    <hyperlink ref="A38" r:id="rId35" display="https://en.wikipedia.org/wiki/Ottawa"/>
    <hyperlink ref="A39" r:id="rId36" display="https://en.wikipedia.org/wiki/Paris"/>
    <hyperlink ref="A40" r:id="rId37" display="https://en.wikipedia.org/wiki/Perth"/>
    <hyperlink ref="A41" r:id="rId38" display="https://en.wikipedia.org/wiki/Rio_de_Janeiro"/>
    <hyperlink ref="A42" r:id="rId39" display="https://en.wikipedia.org/wiki/Rome"/>
    <hyperlink ref="A43" r:id="rId40" display="https://en.wikipedia.org/wiki/Seattle"/>
    <hyperlink ref="A44" r:id="rId41" display="https://en.wikipedia.org/wiki/Singapore"/>
    <hyperlink ref="A45" r:id="rId42" display="https://en.wikipedia.org/wiki/Skopje"/>
    <hyperlink ref="A46" r:id="rId43" display="https://en.wikipedia.org/wiki/Stockholm"/>
    <hyperlink ref="A47" r:id="rId44" display="https://en.wikipedia.org/wiki/Sydney"/>
    <hyperlink ref="A48" r:id="rId45" display="https://en.wikipedia.org/wiki/Taipei"/>
    <hyperlink ref="A49" r:id="rId46" display="https://en.wikipedia.org/wiki/Tokyo"/>
    <hyperlink ref="A50" r:id="rId47" display="https://en.wikipedia.org/wiki/Toronto"/>
    <hyperlink ref="A51" r:id="rId48" display="https://en.wikipedia.org/wiki/Vancouver"/>
    <hyperlink ref="A52" r:id="rId49" display="https://en.wikipedia.org/wiki/Washington,_D.C."/>
    <hyperlink ref="A53" r:id="rId50" display="https://en.wikipedia.org/wiki/Wellington"/>
    <hyperlink ref="A54" r:id="rId51" display="https://en.wikipedia.org/wiki/Zurich"/>
  </hyperlinks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2010-11-16T22:05:54Z</dcterms:created>
  <dcterms:modified xsi:type="dcterms:W3CDTF">2015-08-09T01:30:22Z</dcterms:modified>
  <cp:category/>
  <cp:version/>
  <cp:contentType/>
  <cp:contentStatus/>
</cp:coreProperties>
</file>